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ristinmh\Documents\BRAGE\Høst 2020\"/>
    </mc:Choice>
  </mc:AlternateContent>
  <bookViews>
    <workbookView xWindow="0" yWindow="0" windowWidth="19200" windowHeight="7050" tabRatio="500" firstSheet="7" activeTab="12"/>
  </bookViews>
  <sheets>
    <sheet name="GE % change INE (ikke i bruk)" sheetId="12" r:id="rId1"/>
    <sheet name="Laktat+VO2max" sheetId="1" r:id="rId2"/>
    <sheet name="Vekt + VO2" sheetId="15" r:id="rId3"/>
    <sheet name="4 mmol" sheetId="13" r:id="rId4"/>
    <sheet name="Wmax" sheetId="16" r:id="rId5"/>
    <sheet name="Snittwatt 20 min" sheetId="7" r:id="rId6"/>
    <sheet name="Utnyttelsesgrad 20 min" sheetId="6" r:id="rId7"/>
    <sheet name="Laktat + Borg 20 min" sheetId="5" r:id="rId8"/>
    <sheet name="20 min TT individuell" sheetId="14" r:id="rId9"/>
    <sheet name="Arbeidsøkonomi (GE)" sheetId="4" r:id="rId10"/>
    <sheet name="Sprinter w kg INE" sheetId="11" r:id="rId11"/>
    <sheet name="Sprinter INE" sheetId="9" r:id="rId12"/>
    <sheet name="Treningsvolum iTRIMP" sheetId="24" r:id="rId13"/>
    <sheet name="DXA INE" sheetId="10" r:id="rId14"/>
    <sheet name="Keiser INE" sheetId="22" r:id="rId15"/>
    <sheet name="Tabell 1" sheetId="20" r:id="rId16"/>
    <sheet name="Tabell 2" sheetId="18" r:id="rId17"/>
    <sheet name="Tabell 3" sheetId="2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7" i="24" l="1"/>
  <c r="W77" i="24"/>
  <c r="V77" i="24"/>
  <c r="U77" i="24"/>
  <c r="T77" i="24"/>
  <c r="H77" i="24"/>
  <c r="U76" i="24"/>
  <c r="H76" i="24"/>
  <c r="D76" i="24"/>
  <c r="X75" i="24"/>
  <c r="X76" i="24" s="1"/>
  <c r="W75" i="24"/>
  <c r="W76" i="24" s="1"/>
  <c r="V75" i="24"/>
  <c r="V76" i="24" s="1"/>
  <c r="U75" i="24"/>
  <c r="T75" i="24"/>
  <c r="T76" i="24" s="1"/>
  <c r="H75" i="24"/>
  <c r="G75" i="24"/>
  <c r="G76" i="24" s="1"/>
  <c r="F75" i="24"/>
  <c r="F76" i="24" s="1"/>
  <c r="E75" i="24"/>
  <c r="E76" i="24" s="1"/>
  <c r="D75" i="24"/>
  <c r="X74" i="24"/>
  <c r="W74" i="24"/>
  <c r="V74" i="24"/>
  <c r="U74" i="24"/>
  <c r="T74" i="24"/>
  <c r="N74" i="24"/>
  <c r="H74" i="24"/>
  <c r="G74" i="24"/>
  <c r="F74" i="24"/>
  <c r="E74" i="24"/>
  <c r="D74" i="24"/>
  <c r="Z73" i="24"/>
  <c r="AB73" i="24" s="1"/>
  <c r="Y73" i="24"/>
  <c r="Q73" i="24"/>
  <c r="N73" i="24"/>
  <c r="R73" i="24" s="1"/>
  <c r="M73" i="24"/>
  <c r="L73" i="24"/>
  <c r="P73" i="24" s="1"/>
  <c r="K73" i="24"/>
  <c r="O73" i="24" s="1"/>
  <c r="J73" i="24"/>
  <c r="I73" i="24"/>
  <c r="AA73" i="24" s="1"/>
  <c r="AB72" i="24"/>
  <c r="Z72" i="24"/>
  <c r="Y72" i="24"/>
  <c r="N72" i="24"/>
  <c r="M72" i="24"/>
  <c r="L72" i="24"/>
  <c r="K72" i="24"/>
  <c r="O72" i="24" s="1"/>
  <c r="J72" i="24"/>
  <c r="I72" i="24"/>
  <c r="AA72" i="24" s="1"/>
  <c r="AA71" i="24"/>
  <c r="Z71" i="24"/>
  <c r="AB71" i="24" s="1"/>
  <c r="Y71" i="24"/>
  <c r="Q71" i="24"/>
  <c r="P71" i="24"/>
  <c r="N71" i="24"/>
  <c r="R71" i="24" s="1"/>
  <c r="M71" i="24"/>
  <c r="L71" i="24"/>
  <c r="K71" i="24"/>
  <c r="O71" i="24" s="1"/>
  <c r="J71" i="24"/>
  <c r="I71" i="24"/>
  <c r="Z70" i="24"/>
  <c r="Y70" i="24"/>
  <c r="N70" i="24"/>
  <c r="R70" i="24" s="1"/>
  <c r="M70" i="24"/>
  <c r="Q70" i="24" s="1"/>
  <c r="L70" i="24"/>
  <c r="K70" i="24"/>
  <c r="O70" i="24" s="1"/>
  <c r="J70" i="24"/>
  <c r="AB70" i="24" s="1"/>
  <c r="I70" i="24"/>
  <c r="AA70" i="24" s="1"/>
  <c r="Z69" i="24"/>
  <c r="AB69" i="24" s="1"/>
  <c r="Y69" i="24"/>
  <c r="Q69" i="24"/>
  <c r="N69" i="24"/>
  <c r="R69" i="24" s="1"/>
  <c r="M69" i="24"/>
  <c r="L69" i="24"/>
  <c r="P69" i="24" s="1"/>
  <c r="K69" i="24"/>
  <c r="O69" i="24" s="1"/>
  <c r="J69" i="24"/>
  <c r="I69" i="24"/>
  <c r="AA69" i="24" s="1"/>
  <c r="AB68" i="24"/>
  <c r="Z68" i="24"/>
  <c r="Y68" i="24"/>
  <c r="N68" i="24"/>
  <c r="N75" i="24" s="1"/>
  <c r="N76" i="24" s="1"/>
  <c r="M68" i="24"/>
  <c r="L68" i="24"/>
  <c r="K68" i="24"/>
  <c r="R68" i="24" s="1"/>
  <c r="J68" i="24"/>
  <c r="J75" i="24" s="1"/>
  <c r="J76" i="24" s="1"/>
  <c r="I68" i="24"/>
  <c r="AA68" i="24" s="1"/>
  <c r="Z67" i="24"/>
  <c r="AB67" i="24" s="1"/>
  <c r="AB74" i="24" s="1"/>
  <c r="Y67" i="24"/>
  <c r="P67" i="24"/>
  <c r="N67" i="24"/>
  <c r="N77" i="24" s="1"/>
  <c r="M67" i="24"/>
  <c r="Q67" i="24" s="1"/>
  <c r="L67" i="24"/>
  <c r="K67" i="24"/>
  <c r="J67" i="24"/>
  <c r="J77" i="24" s="1"/>
  <c r="I67" i="24"/>
  <c r="I74" i="24" s="1"/>
  <c r="G63" i="24"/>
  <c r="X62" i="24"/>
  <c r="X63" i="24" s="1"/>
  <c r="W62" i="24"/>
  <c r="W63" i="24" s="1"/>
  <c r="V62" i="24"/>
  <c r="V63" i="24" s="1"/>
  <c r="U62" i="24"/>
  <c r="U63" i="24" s="1"/>
  <c r="T62" i="24"/>
  <c r="T63" i="24" s="1"/>
  <c r="H62" i="24"/>
  <c r="H63" i="24" s="1"/>
  <c r="G62" i="24"/>
  <c r="F62" i="24"/>
  <c r="F63" i="24" s="1"/>
  <c r="E62" i="24"/>
  <c r="E63" i="24" s="1"/>
  <c r="D62" i="24"/>
  <c r="D63" i="24" s="1"/>
  <c r="X61" i="24"/>
  <c r="W61" i="24"/>
  <c r="V61" i="24"/>
  <c r="U61" i="24"/>
  <c r="T61" i="24"/>
  <c r="H61" i="24"/>
  <c r="G61" i="24"/>
  <c r="F61" i="24"/>
  <c r="E61" i="24"/>
  <c r="D61" i="24"/>
  <c r="Z60" i="24"/>
  <c r="Y60" i="24"/>
  <c r="N60" i="24"/>
  <c r="R60" i="24" s="1"/>
  <c r="M60" i="24"/>
  <c r="Q60" i="24" s="1"/>
  <c r="L60" i="24"/>
  <c r="P60" i="24" s="1"/>
  <c r="K60" i="24"/>
  <c r="O60" i="24" s="1"/>
  <c r="J60" i="24"/>
  <c r="AB60" i="24" s="1"/>
  <c r="I60" i="24"/>
  <c r="AA60" i="24" s="1"/>
  <c r="Z59" i="24"/>
  <c r="AB59" i="24" s="1"/>
  <c r="Y59" i="24"/>
  <c r="Q59" i="24"/>
  <c r="N59" i="24"/>
  <c r="R59" i="24" s="1"/>
  <c r="M59" i="24"/>
  <c r="L59" i="24"/>
  <c r="P59" i="24" s="1"/>
  <c r="K59" i="24"/>
  <c r="O59" i="24" s="1"/>
  <c r="J59" i="24"/>
  <c r="I59" i="24"/>
  <c r="AA59" i="24" s="1"/>
  <c r="AB58" i="24"/>
  <c r="Z58" i="24"/>
  <c r="Y58" i="24"/>
  <c r="N58" i="24"/>
  <c r="M58" i="24"/>
  <c r="L58" i="24"/>
  <c r="K58" i="24"/>
  <c r="O58" i="24" s="1"/>
  <c r="J58" i="24"/>
  <c r="I58" i="24"/>
  <c r="AA58" i="24" s="1"/>
  <c r="Z57" i="24"/>
  <c r="AB57" i="24" s="1"/>
  <c r="Y57" i="24"/>
  <c r="P57" i="24"/>
  <c r="N57" i="24"/>
  <c r="R57" i="24" s="1"/>
  <c r="M57" i="24"/>
  <c r="Q57" i="24" s="1"/>
  <c r="L57" i="24"/>
  <c r="K57" i="24"/>
  <c r="O57" i="24" s="1"/>
  <c r="J57" i="24"/>
  <c r="I57" i="24"/>
  <c r="AA57" i="24" s="1"/>
  <c r="Z56" i="24"/>
  <c r="Y56" i="24"/>
  <c r="N56" i="24"/>
  <c r="R56" i="24" s="1"/>
  <c r="M56" i="24"/>
  <c r="Q56" i="24" s="1"/>
  <c r="L56" i="24"/>
  <c r="P56" i="24" s="1"/>
  <c r="K56" i="24"/>
  <c r="O56" i="24" s="1"/>
  <c r="J56" i="24"/>
  <c r="AB56" i="24" s="1"/>
  <c r="I56" i="24"/>
  <c r="AA56" i="24" s="1"/>
  <c r="Z55" i="24"/>
  <c r="AB55" i="24" s="1"/>
  <c r="Y55" i="24"/>
  <c r="Q55" i="24"/>
  <c r="N55" i="24"/>
  <c r="R55" i="24" s="1"/>
  <c r="M55" i="24"/>
  <c r="L55" i="24"/>
  <c r="P55" i="24" s="1"/>
  <c r="K55" i="24"/>
  <c r="O55" i="24" s="1"/>
  <c r="J55" i="24"/>
  <c r="I55" i="24"/>
  <c r="AA55" i="24" s="1"/>
  <c r="AB54" i="24"/>
  <c r="Z54" i="24"/>
  <c r="Y54" i="24"/>
  <c r="N54" i="24"/>
  <c r="M54" i="24"/>
  <c r="L54" i="24"/>
  <c r="K54" i="24"/>
  <c r="K62" i="24" s="1"/>
  <c r="K63" i="24" s="1"/>
  <c r="J54" i="24"/>
  <c r="I54" i="24"/>
  <c r="AA54" i="24" s="1"/>
  <c r="Z53" i="24"/>
  <c r="AB53" i="24" s="1"/>
  <c r="Y53" i="24"/>
  <c r="P53" i="24"/>
  <c r="N53" i="24"/>
  <c r="R53" i="24" s="1"/>
  <c r="M53" i="24"/>
  <c r="Q53" i="24" s="1"/>
  <c r="L53" i="24"/>
  <c r="L62" i="24" s="1"/>
  <c r="L63" i="24" s="1"/>
  <c r="K53" i="24"/>
  <c r="O53" i="24" s="1"/>
  <c r="J53" i="24"/>
  <c r="I53" i="24"/>
  <c r="AA53" i="24" s="1"/>
  <c r="Z52" i="24"/>
  <c r="Y52" i="24"/>
  <c r="Y62" i="24" s="1"/>
  <c r="Y63" i="24" s="1"/>
  <c r="N52" i="24"/>
  <c r="M52" i="24"/>
  <c r="Q52" i="24" s="1"/>
  <c r="L52" i="24"/>
  <c r="P52" i="24" s="1"/>
  <c r="K52" i="24"/>
  <c r="O52" i="24" s="1"/>
  <c r="J52" i="24"/>
  <c r="I52" i="24"/>
  <c r="AA52" i="24" s="1"/>
  <c r="E23" i="24"/>
  <c r="E24" i="24" s="1"/>
  <c r="M21" i="24"/>
  <c r="N21" i="24" s="1"/>
  <c r="L21" i="24"/>
  <c r="K21" i="24"/>
  <c r="J21" i="24"/>
  <c r="G21" i="24"/>
  <c r="F21" i="24"/>
  <c r="E21" i="24"/>
  <c r="D21" i="24"/>
  <c r="H21" i="24" s="1"/>
  <c r="I21" i="24" s="1"/>
  <c r="L20" i="24"/>
  <c r="K20" i="24"/>
  <c r="J20" i="24"/>
  <c r="M20" i="24" s="1"/>
  <c r="N20" i="24" s="1"/>
  <c r="S20" i="24" s="1"/>
  <c r="G20" i="24"/>
  <c r="F20" i="24"/>
  <c r="H20" i="24" s="1"/>
  <c r="I20" i="24" s="1"/>
  <c r="L19" i="24"/>
  <c r="K19" i="24"/>
  <c r="M19" i="24" s="1"/>
  <c r="N19" i="24" s="1"/>
  <c r="J19" i="24"/>
  <c r="G19" i="24"/>
  <c r="F19" i="24"/>
  <c r="E19" i="24"/>
  <c r="D19" i="24"/>
  <c r="H19" i="24" s="1"/>
  <c r="I19" i="24" s="1"/>
  <c r="L18" i="24"/>
  <c r="K18" i="24"/>
  <c r="M18" i="24" s="1"/>
  <c r="N18" i="24" s="1"/>
  <c r="S18" i="24" s="1"/>
  <c r="J18" i="24"/>
  <c r="G18" i="24"/>
  <c r="F18" i="24"/>
  <c r="E18" i="24"/>
  <c r="D18" i="24"/>
  <c r="H18" i="24" s="1"/>
  <c r="I18" i="24" s="1"/>
  <c r="L17" i="24"/>
  <c r="K17" i="24"/>
  <c r="J17" i="24"/>
  <c r="G17" i="24"/>
  <c r="F17" i="24"/>
  <c r="E17" i="24"/>
  <c r="D17" i="24"/>
  <c r="H17" i="24" s="1"/>
  <c r="I17" i="24" s="1"/>
  <c r="L16" i="24"/>
  <c r="K16" i="24"/>
  <c r="J16" i="24"/>
  <c r="H16" i="24"/>
  <c r="I16" i="24" s="1"/>
  <c r="G16" i="24"/>
  <c r="F16" i="24"/>
  <c r="E16" i="24"/>
  <c r="D16" i="24"/>
  <c r="L15" i="24"/>
  <c r="K15" i="24"/>
  <c r="M15" i="24" s="1"/>
  <c r="N15" i="24" s="1"/>
  <c r="J15" i="24"/>
  <c r="G15" i="24"/>
  <c r="F15" i="24"/>
  <c r="E15" i="24"/>
  <c r="D15" i="24"/>
  <c r="H15" i="24" s="1"/>
  <c r="I15" i="24" s="1"/>
  <c r="S15" i="24" s="1"/>
  <c r="L14" i="24"/>
  <c r="K14" i="24"/>
  <c r="M14" i="24" s="1"/>
  <c r="N14" i="24" s="1"/>
  <c r="J14" i="24"/>
  <c r="G14" i="24"/>
  <c r="F14" i="24"/>
  <c r="E14" i="24"/>
  <c r="D14" i="24"/>
  <c r="H14" i="24" s="1"/>
  <c r="I14" i="24" s="1"/>
  <c r="L13" i="24"/>
  <c r="K13" i="24"/>
  <c r="J13" i="24"/>
  <c r="F13" i="24"/>
  <c r="H13" i="24" s="1"/>
  <c r="I13" i="24" s="1"/>
  <c r="E13" i="24"/>
  <c r="D13" i="24"/>
  <c r="N12" i="24"/>
  <c r="L12" i="24"/>
  <c r="K12" i="24"/>
  <c r="J12" i="24"/>
  <c r="M12" i="24" s="1"/>
  <c r="G12" i="24"/>
  <c r="F12" i="24"/>
  <c r="E12" i="24"/>
  <c r="D12" i="24"/>
  <c r="L11" i="24"/>
  <c r="K11" i="24"/>
  <c r="J11" i="24"/>
  <c r="M11" i="24" s="1"/>
  <c r="N11" i="24" s="1"/>
  <c r="S11" i="24" s="1"/>
  <c r="G11" i="24"/>
  <c r="F11" i="24"/>
  <c r="E11" i="24"/>
  <c r="D11" i="24"/>
  <c r="H11" i="24" s="1"/>
  <c r="I11" i="24" s="1"/>
  <c r="L10" i="24"/>
  <c r="K10" i="24"/>
  <c r="J10" i="24"/>
  <c r="G10" i="24"/>
  <c r="F10" i="24"/>
  <c r="E10" i="24"/>
  <c r="D10" i="24"/>
  <c r="H10" i="24" s="1"/>
  <c r="I10" i="24" s="1"/>
  <c r="L9" i="24"/>
  <c r="K9" i="24"/>
  <c r="J9" i="24"/>
  <c r="G9" i="24"/>
  <c r="F9" i="24"/>
  <c r="E9" i="24"/>
  <c r="D9" i="24"/>
  <c r="N8" i="24"/>
  <c r="L8" i="24"/>
  <c r="K8" i="24"/>
  <c r="J8" i="24"/>
  <c r="M8" i="24" s="1"/>
  <c r="G8" i="24"/>
  <c r="F8" i="24"/>
  <c r="E8" i="24"/>
  <c r="D8" i="24"/>
  <c r="L7" i="24"/>
  <c r="K7" i="24"/>
  <c r="J7" i="24"/>
  <c r="M7" i="24" s="1"/>
  <c r="N7" i="24" s="1"/>
  <c r="S7" i="24" s="1"/>
  <c r="G7" i="24"/>
  <c r="F7" i="24"/>
  <c r="E7" i="24"/>
  <c r="D7" i="24"/>
  <c r="H7" i="24" s="1"/>
  <c r="I7" i="24" s="1"/>
  <c r="L6" i="24"/>
  <c r="K6" i="24"/>
  <c r="J6" i="24"/>
  <c r="J22" i="24" s="1"/>
  <c r="G6" i="24"/>
  <c r="F6" i="24"/>
  <c r="F22" i="24" s="1"/>
  <c r="E6" i="24"/>
  <c r="E22" i="24" s="1"/>
  <c r="D6" i="24"/>
  <c r="S21" i="24" l="1"/>
  <c r="S12" i="24"/>
  <c r="S14" i="24"/>
  <c r="S19" i="24"/>
  <c r="AA62" i="24"/>
  <c r="AA63" i="24" s="1"/>
  <c r="AA61" i="24"/>
  <c r="O68" i="24"/>
  <c r="K75" i="24"/>
  <c r="K76" i="24" s="1"/>
  <c r="D23" i="24"/>
  <c r="D24" i="24" s="1"/>
  <c r="D22" i="24"/>
  <c r="L23" i="24"/>
  <c r="L24" i="24" s="1"/>
  <c r="L22" i="24"/>
  <c r="H12" i="24"/>
  <c r="I12" i="24" s="1"/>
  <c r="F23" i="24"/>
  <c r="F24" i="24" s="1"/>
  <c r="J62" i="24"/>
  <c r="J63" i="24" s="1"/>
  <c r="J61" i="24"/>
  <c r="N62" i="24"/>
  <c r="N63" i="24" s="1"/>
  <c r="N61" i="24"/>
  <c r="Z62" i="24"/>
  <c r="Z63" i="24" s="1"/>
  <c r="P54" i="24"/>
  <c r="P62" i="24" s="1"/>
  <c r="P63" i="24" s="1"/>
  <c r="R54" i="24"/>
  <c r="P58" i="24"/>
  <c r="R58" i="24"/>
  <c r="L61" i="24"/>
  <c r="Y61" i="24"/>
  <c r="K77" i="24"/>
  <c r="AA67" i="24"/>
  <c r="AA81" i="24" s="1"/>
  <c r="P68" i="24"/>
  <c r="P74" i="24" s="1"/>
  <c r="P72" i="24"/>
  <c r="R72" i="24"/>
  <c r="O54" i="24"/>
  <c r="O62" i="24" s="1"/>
  <c r="O63" i="24" s="1"/>
  <c r="K61" i="24"/>
  <c r="AB75" i="24"/>
  <c r="AB76" i="24" s="1"/>
  <c r="H6" i="24"/>
  <c r="H8" i="24"/>
  <c r="I8" i="24" s="1"/>
  <c r="S8" i="24" s="1"/>
  <c r="H9" i="24"/>
  <c r="I9" i="24" s="1"/>
  <c r="M9" i="24"/>
  <c r="N9" i="24" s="1"/>
  <c r="M16" i="24"/>
  <c r="N16" i="24" s="1"/>
  <c r="S16" i="24" s="1"/>
  <c r="AB52" i="24"/>
  <c r="Q54" i="24"/>
  <c r="Q58" i="24"/>
  <c r="L77" i="24"/>
  <c r="L74" i="24"/>
  <c r="L75" i="24"/>
  <c r="L76" i="24" s="1"/>
  <c r="Q68" i="24"/>
  <c r="Q77" i="24" s="1"/>
  <c r="Q72" i="24"/>
  <c r="J74" i="24"/>
  <c r="G23" i="24"/>
  <c r="G24" i="24" s="1"/>
  <c r="G22" i="24"/>
  <c r="K23" i="24"/>
  <c r="K24" i="24" s="1"/>
  <c r="K22" i="24"/>
  <c r="Q62" i="24"/>
  <c r="Q63" i="24" s="1"/>
  <c r="Q61" i="24"/>
  <c r="M6" i="24"/>
  <c r="M10" i="24"/>
  <c r="N10" i="24" s="1"/>
  <c r="S10" i="24" s="1"/>
  <c r="M13" i="24"/>
  <c r="N13" i="24" s="1"/>
  <c r="S13" i="24" s="1"/>
  <c r="M17" i="24"/>
  <c r="N17" i="24" s="1"/>
  <c r="S17" i="24" s="1"/>
  <c r="J23" i="24"/>
  <c r="J24" i="24" s="1"/>
  <c r="R52" i="24"/>
  <c r="P61" i="24"/>
  <c r="I75" i="24"/>
  <c r="I76" i="24" s="1"/>
  <c r="I77" i="24"/>
  <c r="M75" i="24"/>
  <c r="M76" i="24" s="1"/>
  <c r="M77" i="24"/>
  <c r="Y77" i="24"/>
  <c r="P70" i="24"/>
  <c r="M74" i="24"/>
  <c r="I61" i="24"/>
  <c r="M61" i="24"/>
  <c r="Z61" i="24"/>
  <c r="I62" i="24"/>
  <c r="I63" i="24" s="1"/>
  <c r="M62" i="24"/>
  <c r="M63" i="24" s="1"/>
  <c r="R67" i="24"/>
  <c r="K74" i="24"/>
  <c r="Y75" i="24"/>
  <c r="Y76" i="24" s="1"/>
  <c r="O67" i="24"/>
  <c r="Y74" i="24"/>
  <c r="R62" i="24" l="1"/>
  <c r="R63" i="24" s="1"/>
  <c r="R61" i="24"/>
  <c r="AB62" i="24"/>
  <c r="AB63" i="24" s="1"/>
  <c r="AB61" i="24"/>
  <c r="P77" i="24"/>
  <c r="Q75" i="24"/>
  <c r="Q76" i="24" s="1"/>
  <c r="M22" i="24"/>
  <c r="N6" i="24"/>
  <c r="M23" i="24"/>
  <c r="M24" i="24" s="1"/>
  <c r="H23" i="24"/>
  <c r="H24" i="24" s="1"/>
  <c r="H22" i="24"/>
  <c r="I6" i="24"/>
  <c r="AA75" i="24"/>
  <c r="AA76" i="24" s="1"/>
  <c r="AA77" i="24"/>
  <c r="AA74" i="24"/>
  <c r="O61" i="24"/>
  <c r="R77" i="24"/>
  <c r="R75" i="24"/>
  <c r="R76" i="24" s="1"/>
  <c r="R74" i="24"/>
  <c r="S9" i="24"/>
  <c r="AB77" i="24"/>
  <c r="P75" i="24"/>
  <c r="P76" i="24" s="1"/>
  <c r="Q74" i="24"/>
  <c r="O77" i="24"/>
  <c r="O74" i="24"/>
  <c r="O75" i="24"/>
  <c r="O76" i="24" s="1"/>
  <c r="AA80" i="24"/>
  <c r="I22" i="24" l="1"/>
  <c r="I23" i="24"/>
  <c r="I24" i="24" s="1"/>
  <c r="N22" i="24"/>
  <c r="S22" i="24" s="1"/>
  <c r="S6" i="24"/>
  <c r="S23" i="24" s="1"/>
  <c r="S24" i="24" s="1"/>
  <c r="N23" i="24"/>
  <c r="N24" i="24" s="1"/>
  <c r="Z42" i="15" l="1"/>
  <c r="Z41" i="15"/>
  <c r="O18" i="16"/>
  <c r="O20" i="16"/>
  <c r="O19" i="16"/>
  <c r="O7" i="20" l="1"/>
  <c r="L39" i="11" l="1"/>
  <c r="L36" i="11"/>
  <c r="K15" i="11"/>
  <c r="J39" i="11"/>
  <c r="H39" i="11"/>
  <c r="F15" i="11"/>
  <c r="F39" i="11" s="1"/>
  <c r="L64" i="11"/>
  <c r="P59" i="5"/>
  <c r="N34" i="5"/>
  <c r="D64" i="11"/>
  <c r="D61" i="11"/>
  <c r="D59" i="11"/>
  <c r="L62" i="11"/>
  <c r="AA56" i="11"/>
  <c r="J64" i="11"/>
  <c r="H64" i="11"/>
  <c r="H61" i="11"/>
  <c r="F62" i="11"/>
  <c r="F64" i="11" s="1"/>
  <c r="F58" i="11"/>
  <c r="F49" i="11"/>
  <c r="D62" i="11"/>
  <c r="D50" i="11"/>
  <c r="D49" i="11"/>
  <c r="D58" i="11"/>
  <c r="AL5" i="11"/>
  <c r="AM5" i="11"/>
  <c r="AN5" i="11"/>
  <c r="AO5" i="11"/>
  <c r="AP5" i="11"/>
  <c r="AQ5" i="11"/>
  <c r="AR5" i="11"/>
  <c r="AS5" i="11"/>
  <c r="AL6" i="11"/>
  <c r="AM6" i="11"/>
  <c r="AN6" i="11"/>
  <c r="AO6" i="11"/>
  <c r="AP6" i="11"/>
  <c r="AQ6" i="11"/>
  <c r="AR6" i="11"/>
  <c r="AS6" i="11"/>
  <c r="AL7" i="11"/>
  <c r="AM7" i="11"/>
  <c r="AN7" i="11"/>
  <c r="AO7" i="11"/>
  <c r="AP7" i="11"/>
  <c r="AQ7" i="11"/>
  <c r="AR7" i="11"/>
  <c r="AS7" i="11"/>
  <c r="AL8" i="11"/>
  <c r="AM8" i="11"/>
  <c r="AN8" i="11"/>
  <c r="AO8" i="11"/>
  <c r="AP8" i="11"/>
  <c r="AQ8" i="11"/>
  <c r="AR8" i="11"/>
  <c r="AS8" i="11"/>
  <c r="AL9" i="11"/>
  <c r="AM9" i="11"/>
  <c r="AN9" i="11"/>
  <c r="AO9" i="11"/>
  <c r="AP9" i="11"/>
  <c r="AQ9" i="11"/>
  <c r="AR9" i="11"/>
  <c r="AS9" i="11"/>
  <c r="AL10" i="11"/>
  <c r="AM10" i="11"/>
  <c r="AN10" i="11"/>
  <c r="AO10" i="11"/>
  <c r="AP10" i="11"/>
  <c r="AQ10" i="11"/>
  <c r="AR10" i="11"/>
  <c r="AS10" i="11"/>
  <c r="AL11" i="11"/>
  <c r="AM11" i="11"/>
  <c r="AN11" i="11"/>
  <c r="AO11" i="11"/>
  <c r="AP11" i="11"/>
  <c r="AQ11" i="11"/>
  <c r="AR11" i="11"/>
  <c r="AS11" i="11"/>
  <c r="AL12" i="11"/>
  <c r="AM12" i="11"/>
  <c r="AN12" i="11"/>
  <c r="AO12" i="11"/>
  <c r="AP12" i="11"/>
  <c r="AQ12" i="11"/>
  <c r="AR12" i="11"/>
  <c r="AS12" i="11"/>
  <c r="AL13" i="11"/>
  <c r="AM13" i="11"/>
  <c r="AN13" i="11"/>
  <c r="AO13" i="11"/>
  <c r="AP13" i="11"/>
  <c r="AQ13" i="11"/>
  <c r="AR13" i="11"/>
  <c r="AS13" i="11"/>
  <c r="AK6" i="11"/>
  <c r="AK7" i="11"/>
  <c r="AK8" i="11"/>
  <c r="AK9" i="11"/>
  <c r="AK10" i="11"/>
  <c r="AK11" i="11"/>
  <c r="AK12" i="11"/>
  <c r="AK13" i="11"/>
  <c r="AK5" i="11"/>
  <c r="AJ6" i="11"/>
  <c r="AJ7" i="11"/>
  <c r="AJ8" i="11"/>
  <c r="AJ9" i="11"/>
  <c r="AJ10" i="11"/>
  <c r="AJ11" i="11"/>
  <c r="AJ12" i="11"/>
  <c r="AJ13" i="11"/>
  <c r="AJ5" i="11"/>
  <c r="AN15" i="11"/>
  <c r="AN16" i="11" s="1"/>
  <c r="F61" i="11" l="1"/>
  <c r="AJ15" i="11"/>
  <c r="AJ16" i="11" s="1"/>
  <c r="AO15" i="11"/>
  <c r="AL14" i="11"/>
  <c r="AR15" i="11"/>
  <c r="AR16" i="11" s="1"/>
  <c r="AK15" i="11"/>
  <c r="AK16" i="11" s="1"/>
  <c r="AS15" i="11"/>
  <c r="AS16" i="11" s="1"/>
  <c r="AO16" i="11"/>
  <c r="AP14" i="11"/>
  <c r="AM15" i="11"/>
  <c r="AM16" i="11" s="1"/>
  <c r="AM14" i="11"/>
  <c r="AM17" i="11" s="1"/>
  <c r="AJ14" i="11"/>
  <c r="AJ17" i="11" s="1"/>
  <c r="AN14" i="11"/>
  <c r="AN17" i="11" s="1"/>
  <c r="AR14" i="11"/>
  <c r="AL15" i="11"/>
  <c r="AL16" i="11" s="1"/>
  <c r="AP15" i="11"/>
  <c r="AP16" i="11" s="1"/>
  <c r="AK14" i="11"/>
  <c r="AO14" i="11"/>
  <c r="AO17" i="11" s="1"/>
  <c r="AS14" i="11"/>
  <c r="Z44" i="22"/>
  <c r="Y44" i="22"/>
  <c r="X44" i="22"/>
  <c r="L44" i="22"/>
  <c r="K44" i="22"/>
  <c r="J44" i="22"/>
  <c r="Z43" i="22"/>
  <c r="Y43" i="22"/>
  <c r="X43" i="22"/>
  <c r="L43" i="22"/>
  <c r="K43" i="22"/>
  <c r="J43" i="22"/>
  <c r="Z42" i="22"/>
  <c r="Y42" i="22"/>
  <c r="X42" i="22"/>
  <c r="L42" i="22"/>
  <c r="K42" i="22"/>
  <c r="J42" i="22"/>
  <c r="Z41" i="22"/>
  <c r="Y41" i="22"/>
  <c r="X41" i="22"/>
  <c r="L41" i="22"/>
  <c r="K41" i="22"/>
  <c r="J41" i="22"/>
  <c r="Z40" i="22"/>
  <c r="Y40" i="22"/>
  <c r="X40" i="22"/>
  <c r="L40" i="22"/>
  <c r="K40" i="22"/>
  <c r="J40" i="22"/>
  <c r="Z39" i="22"/>
  <c r="Y39" i="22"/>
  <c r="X39" i="22"/>
  <c r="L39" i="22"/>
  <c r="K39" i="22"/>
  <c r="J39" i="22"/>
  <c r="Z38" i="22"/>
  <c r="Y38" i="22"/>
  <c r="X38" i="22"/>
  <c r="L38" i="22"/>
  <c r="K38" i="22"/>
  <c r="J38" i="22"/>
  <c r="Z30" i="22"/>
  <c r="Y30" i="22"/>
  <c r="X30" i="22"/>
  <c r="L30" i="22"/>
  <c r="K30" i="22"/>
  <c r="J30" i="22"/>
  <c r="Z29" i="22"/>
  <c r="Y29" i="22"/>
  <c r="X29" i="22"/>
  <c r="L29" i="22"/>
  <c r="K29" i="22"/>
  <c r="J29" i="22"/>
  <c r="Z28" i="22"/>
  <c r="Y28" i="22"/>
  <c r="X28" i="22"/>
  <c r="L28" i="22"/>
  <c r="K28" i="22"/>
  <c r="K55" i="22" s="1"/>
  <c r="J28" i="22"/>
  <c r="Z27" i="22"/>
  <c r="Y27" i="22"/>
  <c r="X27" i="22"/>
  <c r="L27" i="22"/>
  <c r="K27" i="22"/>
  <c r="J27" i="22"/>
  <c r="Z26" i="22"/>
  <c r="Y26" i="22"/>
  <c r="X26" i="22"/>
  <c r="L26" i="22"/>
  <c r="K26" i="22"/>
  <c r="K53" i="22" s="1"/>
  <c r="J26" i="22"/>
  <c r="Z25" i="22"/>
  <c r="Y25" i="22"/>
  <c r="X25" i="22"/>
  <c r="L25" i="22"/>
  <c r="K25" i="22"/>
  <c r="J25" i="22"/>
  <c r="Z24" i="22"/>
  <c r="Y24" i="22"/>
  <c r="X24" i="22"/>
  <c r="L24" i="22"/>
  <c r="K24" i="22"/>
  <c r="J24" i="22"/>
  <c r="Z17" i="22"/>
  <c r="Y17" i="22"/>
  <c r="X17" i="22"/>
  <c r="Z16" i="22"/>
  <c r="Y16" i="22"/>
  <c r="X16" i="22"/>
  <c r="L16" i="22"/>
  <c r="K16" i="22"/>
  <c r="J16" i="22"/>
  <c r="Z15" i="22"/>
  <c r="Y15" i="22"/>
  <c r="X15" i="22"/>
  <c r="L15" i="22"/>
  <c r="K15" i="22"/>
  <c r="J15" i="22"/>
  <c r="Z14" i="22"/>
  <c r="Y14" i="22"/>
  <c r="X14" i="22"/>
  <c r="L14" i="22"/>
  <c r="K14" i="22"/>
  <c r="J14" i="22"/>
  <c r="Z13" i="22"/>
  <c r="Y13" i="22"/>
  <c r="X13" i="22"/>
  <c r="L13" i="22"/>
  <c r="K13" i="22"/>
  <c r="J13" i="22"/>
  <c r="Z12" i="22"/>
  <c r="Y12" i="22"/>
  <c r="X12" i="22"/>
  <c r="L12" i="22"/>
  <c r="K12" i="22"/>
  <c r="J12" i="22"/>
  <c r="Z11" i="22"/>
  <c r="Y11" i="22"/>
  <c r="X11" i="22"/>
  <c r="L11" i="22"/>
  <c r="K11" i="22"/>
  <c r="J11" i="22"/>
  <c r="Z10" i="22"/>
  <c r="Y10" i="22"/>
  <c r="X10" i="22"/>
  <c r="L10" i="22"/>
  <c r="K10" i="22"/>
  <c r="J10" i="22"/>
  <c r="Z9" i="22"/>
  <c r="Y9" i="22"/>
  <c r="X9" i="22"/>
  <c r="L9" i="22"/>
  <c r="K9" i="22"/>
  <c r="J9" i="22"/>
  <c r="Z8" i="22"/>
  <c r="Y8" i="22"/>
  <c r="X8" i="22"/>
  <c r="L8" i="22"/>
  <c r="K8" i="22"/>
  <c r="J8" i="22"/>
  <c r="Z7" i="22"/>
  <c r="Y7" i="22"/>
  <c r="X7" i="22"/>
  <c r="L7" i="22"/>
  <c r="K7" i="22"/>
  <c r="J7" i="22"/>
  <c r="Z6" i="22"/>
  <c r="Y6" i="22"/>
  <c r="X6" i="22"/>
  <c r="L6" i="22"/>
  <c r="K6" i="22"/>
  <c r="J6" i="22"/>
  <c r="Z5" i="22"/>
  <c r="Y5" i="22"/>
  <c r="X5" i="22"/>
  <c r="L5" i="22"/>
  <c r="K5" i="22"/>
  <c r="J5" i="22"/>
  <c r="Z4" i="22"/>
  <c r="Y4" i="22"/>
  <c r="X4" i="22"/>
  <c r="L4" i="22"/>
  <c r="K4" i="22"/>
  <c r="J4" i="22"/>
  <c r="Z3" i="22"/>
  <c r="Y3" i="22"/>
  <c r="X3" i="22"/>
  <c r="L3" i="22"/>
  <c r="K3" i="22"/>
  <c r="J3" i="22"/>
  <c r="AS17" i="11" l="1"/>
  <c r="AK17" i="11"/>
  <c r="AP17" i="11"/>
  <c r="AR17" i="11"/>
  <c r="AQ15" i="11"/>
  <c r="AQ16" i="11" s="1"/>
  <c r="AQ14" i="11"/>
  <c r="AL17" i="11"/>
  <c r="K52" i="22"/>
  <c r="L31" i="22"/>
  <c r="I6" i="21" s="1"/>
  <c r="Y52" i="22"/>
  <c r="J54" i="22"/>
  <c r="Y54" i="22"/>
  <c r="M43" i="22"/>
  <c r="Y56" i="22"/>
  <c r="J45" i="22"/>
  <c r="L4" i="21" s="1"/>
  <c r="Z52" i="22"/>
  <c r="X53" i="22"/>
  <c r="K54" i="22"/>
  <c r="Z54" i="22"/>
  <c r="X55" i="22"/>
  <c r="K56" i="22"/>
  <c r="Z56" i="22"/>
  <c r="X57" i="22"/>
  <c r="Y51" i="22"/>
  <c r="L52" i="22"/>
  <c r="M40" i="22"/>
  <c r="Y53" i="22"/>
  <c r="L54" i="22"/>
  <c r="M42" i="22"/>
  <c r="Y55" i="22"/>
  <c r="L56" i="22"/>
  <c r="M44" i="22"/>
  <c r="Y57" i="22"/>
  <c r="K57" i="22"/>
  <c r="X32" i="22"/>
  <c r="D4" i="21" s="1"/>
  <c r="K46" i="22"/>
  <c r="N5" i="21" s="1"/>
  <c r="Z45" i="22"/>
  <c r="E6" i="21" s="1"/>
  <c r="X52" i="22"/>
  <c r="Z53" i="22"/>
  <c r="X54" i="22"/>
  <c r="Z55" i="22"/>
  <c r="X56" i="22"/>
  <c r="Z57" i="22"/>
  <c r="K51" i="22"/>
  <c r="J52" i="22"/>
  <c r="L53" i="22"/>
  <c r="L55" i="22"/>
  <c r="J56" i="22"/>
  <c r="L57" i="22"/>
  <c r="J46" i="22"/>
  <c r="N4" i="21" s="1"/>
  <c r="J57" i="22"/>
  <c r="L51" i="22"/>
  <c r="J31" i="22"/>
  <c r="I4" i="21" s="1"/>
  <c r="Y31" i="22"/>
  <c r="B5" i="21" s="1"/>
  <c r="L45" i="22"/>
  <c r="L6" i="21" s="1"/>
  <c r="M41" i="22"/>
  <c r="L32" i="22"/>
  <c r="L33" i="22" s="1"/>
  <c r="Y32" i="22"/>
  <c r="Y33" i="22" s="1"/>
  <c r="M39" i="22"/>
  <c r="Z51" i="22"/>
  <c r="L46" i="22"/>
  <c r="L47" i="22" s="1"/>
  <c r="Y45" i="22"/>
  <c r="E5" i="21" s="1"/>
  <c r="J51" i="22"/>
  <c r="J53" i="22"/>
  <c r="K32" i="22"/>
  <c r="K33" i="22" s="1"/>
  <c r="Z32" i="22"/>
  <c r="D6" i="21" s="1"/>
  <c r="X45" i="22"/>
  <c r="E4" i="21" s="1"/>
  <c r="J32" i="22"/>
  <c r="K4" i="21" s="1"/>
  <c r="Y46" i="22"/>
  <c r="Y47" i="22" s="1"/>
  <c r="J55" i="22"/>
  <c r="X51" i="22"/>
  <c r="K5" i="21"/>
  <c r="Z31" i="22"/>
  <c r="B6" i="21" s="1"/>
  <c r="X46" i="22"/>
  <c r="Z46" i="22"/>
  <c r="M38" i="22"/>
  <c r="K31" i="22"/>
  <c r="I5" i="21" s="1"/>
  <c r="K45" i="22"/>
  <c r="L5" i="21" s="1"/>
  <c r="X31" i="22"/>
  <c r="B4" i="21" s="1"/>
  <c r="N9" i="21"/>
  <c r="L9" i="21"/>
  <c r="K9" i="21"/>
  <c r="I9" i="21"/>
  <c r="G9" i="21"/>
  <c r="E9" i="21"/>
  <c r="D9" i="21"/>
  <c r="B9" i="21"/>
  <c r="N8" i="21"/>
  <c r="L8" i="21"/>
  <c r="K8" i="21"/>
  <c r="I8" i="21"/>
  <c r="G8" i="21"/>
  <c r="E8" i="21"/>
  <c r="D8" i="21"/>
  <c r="B8" i="21"/>
  <c r="AQ17" i="11" l="1"/>
  <c r="J47" i="22"/>
  <c r="K59" i="22"/>
  <c r="K60" i="22" s="1"/>
  <c r="Y59" i="22"/>
  <c r="Y60" i="22" s="1"/>
  <c r="G5" i="21"/>
  <c r="J58" i="22"/>
  <c r="K58" i="22"/>
  <c r="K47" i="22"/>
  <c r="L59" i="22"/>
  <c r="L60" i="22" s="1"/>
  <c r="Y58" i="22"/>
  <c r="D5" i="21"/>
  <c r="X58" i="22"/>
  <c r="Z33" i="22"/>
  <c r="X33" i="22"/>
  <c r="Z59" i="22"/>
  <c r="Z60" i="22" s="1"/>
  <c r="L58" i="22"/>
  <c r="N6" i="21"/>
  <c r="M46" i="22"/>
  <c r="M47" i="22" s="1"/>
  <c r="M45" i="22"/>
  <c r="X59" i="22"/>
  <c r="X60" i="22" s="1"/>
  <c r="J59" i="22"/>
  <c r="J60" i="22" s="1"/>
  <c r="K6" i="21"/>
  <c r="J33" i="22"/>
  <c r="Z58" i="22"/>
  <c r="Z47" i="22"/>
  <c r="G6" i="21"/>
  <c r="X47" i="22"/>
  <c r="G4" i="21"/>
  <c r="N8" i="18"/>
  <c r="K8" i="18"/>
  <c r="G8" i="18"/>
  <c r="D8" i="18"/>
  <c r="L8" i="18"/>
  <c r="I8" i="18"/>
  <c r="E8" i="18"/>
  <c r="B8" i="18"/>
  <c r="AF55" i="4"/>
  <c r="C11" i="20"/>
  <c r="O6" i="20" s="1"/>
  <c r="D11" i="20"/>
  <c r="E11" i="20"/>
  <c r="O8" i="20" s="1"/>
  <c r="F11" i="20"/>
  <c r="O9" i="20" s="1"/>
  <c r="G11" i="20"/>
  <c r="O10" i="20" s="1"/>
  <c r="H11" i="20"/>
  <c r="I11" i="20"/>
  <c r="C12" i="20"/>
  <c r="Q6" i="20" s="1"/>
  <c r="D12" i="20"/>
  <c r="Q7" i="20" s="1"/>
  <c r="E12" i="20"/>
  <c r="E13" i="20" s="1"/>
  <c r="F12" i="20"/>
  <c r="Q9" i="20" s="1"/>
  <c r="G12" i="20"/>
  <c r="Q10" i="20" s="1"/>
  <c r="H12" i="20"/>
  <c r="H13" i="20" s="1"/>
  <c r="I12" i="20"/>
  <c r="I13" i="20" s="1"/>
  <c r="C25" i="20"/>
  <c r="S6" i="20" s="1"/>
  <c r="D25" i="20"/>
  <c r="S7" i="20" s="1"/>
  <c r="E25" i="20"/>
  <c r="S8" i="20" s="1"/>
  <c r="F25" i="20"/>
  <c r="S9" i="20" s="1"/>
  <c r="G25" i="20"/>
  <c r="S10" i="20" s="1"/>
  <c r="H25" i="20"/>
  <c r="I25" i="20"/>
  <c r="C26" i="20"/>
  <c r="C27" i="20" s="1"/>
  <c r="D26" i="20"/>
  <c r="D27" i="20" s="1"/>
  <c r="E26" i="20"/>
  <c r="E27" i="20" s="1"/>
  <c r="F26" i="20"/>
  <c r="F27" i="20" s="1"/>
  <c r="G26" i="20"/>
  <c r="U10" i="20" s="1"/>
  <c r="H26" i="20"/>
  <c r="H27" i="20" s="1"/>
  <c r="I26" i="20"/>
  <c r="I27" i="20" s="1"/>
  <c r="C28" i="20"/>
  <c r="D28" i="20"/>
  <c r="E28" i="20"/>
  <c r="F28" i="20"/>
  <c r="G28" i="20"/>
  <c r="H28" i="20"/>
  <c r="I28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G27" i="20" l="1"/>
  <c r="D13" i="20"/>
  <c r="U7" i="20"/>
  <c r="U6" i="20"/>
  <c r="U8" i="20"/>
  <c r="U9" i="20"/>
  <c r="G13" i="20"/>
  <c r="C13" i="20"/>
  <c r="F13" i="20"/>
  <c r="Q8" i="20"/>
  <c r="AV14" i="4" l="1"/>
  <c r="J14" i="4"/>
  <c r="L56" i="6"/>
  <c r="F15" i="7"/>
  <c r="F17" i="7" s="1"/>
  <c r="O15" i="7"/>
  <c r="AH51" i="7"/>
  <c r="O13" i="13"/>
  <c r="F15" i="13"/>
  <c r="Y56" i="7" l="1"/>
  <c r="O55" i="13"/>
  <c r="O56" i="13" s="1"/>
  <c r="BC33" i="4"/>
  <c r="BC34" i="4" s="1"/>
  <c r="BC32" i="4"/>
  <c r="BC13" i="4"/>
  <c r="BC14" i="4" s="1"/>
  <c r="BC12" i="4"/>
  <c r="U19" i="10" l="1"/>
  <c r="T20" i="10"/>
  <c r="U20" i="10"/>
  <c r="T21" i="10"/>
  <c r="U21" i="10"/>
  <c r="T22" i="10"/>
  <c r="U22" i="10"/>
  <c r="T19" i="10"/>
  <c r="T23" i="10" s="1"/>
  <c r="T6" i="10"/>
  <c r="U6" i="10"/>
  <c r="T7" i="10"/>
  <c r="U7" i="10"/>
  <c r="T8" i="10"/>
  <c r="U8" i="10"/>
  <c r="T9" i="10"/>
  <c r="U9" i="10"/>
  <c r="T10" i="10"/>
  <c r="U10" i="10"/>
  <c r="U5" i="10"/>
  <c r="T5" i="10"/>
  <c r="U23" i="10"/>
  <c r="U12" i="10"/>
  <c r="U13" i="10" s="1"/>
  <c r="T12" i="10"/>
  <c r="T13" i="10" s="1"/>
  <c r="J11" i="10"/>
  <c r="J12" i="10"/>
  <c r="J13" i="10" s="1"/>
  <c r="E11" i="10"/>
  <c r="E12" i="10"/>
  <c r="E13" i="10" s="1"/>
  <c r="J23" i="10"/>
  <c r="J24" i="10"/>
  <c r="J25" i="10" s="1"/>
  <c r="E23" i="10"/>
  <c r="E24" i="10"/>
  <c r="E25" i="10" s="1"/>
  <c r="D23" i="10"/>
  <c r="I23" i="10"/>
  <c r="P23" i="10"/>
  <c r="P24" i="10"/>
  <c r="P25" i="10" s="1"/>
  <c r="O23" i="10"/>
  <c r="O19" i="10"/>
  <c r="O20" i="10"/>
  <c r="P20" i="10"/>
  <c r="O21" i="10"/>
  <c r="P21" i="10"/>
  <c r="O22" i="10"/>
  <c r="P22" i="10"/>
  <c r="P19" i="10"/>
  <c r="P11" i="10"/>
  <c r="P12" i="10"/>
  <c r="P13" i="10" s="1"/>
  <c r="O11" i="10"/>
  <c r="P6" i="10"/>
  <c r="P7" i="10"/>
  <c r="P8" i="10"/>
  <c r="P9" i="10"/>
  <c r="P10" i="10"/>
  <c r="P5" i="10"/>
  <c r="O6" i="10"/>
  <c r="O7" i="10"/>
  <c r="O8" i="10"/>
  <c r="O9" i="10"/>
  <c r="O10" i="10"/>
  <c r="O5" i="10"/>
  <c r="O24" i="10"/>
  <c r="O25" i="10" s="1"/>
  <c r="I25" i="10"/>
  <c r="I24" i="10"/>
  <c r="D25" i="10"/>
  <c r="D24" i="10"/>
  <c r="O12" i="10"/>
  <c r="O13" i="10" s="1"/>
  <c r="I13" i="10"/>
  <c r="I12" i="10"/>
  <c r="D13" i="10"/>
  <c r="D12" i="10"/>
  <c r="D11" i="10"/>
  <c r="I11" i="10"/>
  <c r="T11" i="10" l="1"/>
  <c r="T24" i="10"/>
  <c r="T25" i="10" s="1"/>
  <c r="U11" i="10"/>
  <c r="U24" i="10"/>
  <c r="U25" i="10" s="1"/>
  <c r="Q34" i="5" l="1"/>
  <c r="AB53" i="7"/>
  <c r="P34" i="5"/>
  <c r="P32" i="5"/>
  <c r="P31" i="5"/>
  <c r="P14" i="5"/>
  <c r="F60" i="5"/>
  <c r="F61" i="5" s="1"/>
  <c r="D61" i="5"/>
  <c r="D60" i="5"/>
  <c r="L34" i="6"/>
  <c r="Z15" i="6"/>
  <c r="AA36" i="6"/>
  <c r="Z36" i="6"/>
  <c r="Z39" i="6"/>
  <c r="Z35" i="6"/>
  <c r="AA23" i="6"/>
  <c r="Z13" i="6"/>
  <c r="L26" i="6"/>
  <c r="L32" i="6"/>
  <c r="V11" i="11" l="1"/>
  <c r="C29" i="11" l="1"/>
  <c r="Q7" i="5" l="1"/>
  <c r="F57" i="13" l="1"/>
  <c r="F36" i="13"/>
  <c r="F34" i="13"/>
  <c r="F33" i="13"/>
  <c r="F14" i="13"/>
  <c r="O34" i="13"/>
  <c r="O32" i="13"/>
  <c r="O31" i="13"/>
  <c r="O12" i="13"/>
  <c r="O5" i="13"/>
  <c r="AF52" i="13"/>
  <c r="AF51" i="13"/>
  <c r="W53" i="13"/>
  <c r="W54" i="13"/>
  <c r="F16" i="13"/>
  <c r="F28" i="13"/>
  <c r="D36" i="15"/>
  <c r="J36" i="15"/>
  <c r="J14" i="15"/>
  <c r="P17" i="15" s="1"/>
  <c r="P16" i="15" s="1"/>
  <c r="J13" i="15"/>
  <c r="P24" i="15"/>
  <c r="P33" i="15"/>
  <c r="F58" i="13" l="1"/>
  <c r="J52" i="11"/>
  <c r="W11" i="11" l="1"/>
  <c r="I52" i="11"/>
  <c r="K35" i="11"/>
  <c r="L35" i="11" s="1"/>
  <c r="I35" i="11"/>
  <c r="J35" i="11" s="1"/>
  <c r="G35" i="11"/>
  <c r="H35" i="11" s="1"/>
  <c r="E35" i="11"/>
  <c r="F35" i="11" s="1"/>
  <c r="C35" i="11"/>
  <c r="D35" i="11" s="1"/>
  <c r="K34" i="11"/>
  <c r="L34" i="11" s="1"/>
  <c r="I34" i="11"/>
  <c r="J34" i="11" s="1"/>
  <c r="G34" i="11"/>
  <c r="H34" i="11" s="1"/>
  <c r="E34" i="11"/>
  <c r="F34" i="11" s="1"/>
  <c r="C34" i="11"/>
  <c r="Z33" i="11"/>
  <c r="AA33" i="11" s="1"/>
  <c r="X33" i="11"/>
  <c r="Y33" i="11" s="1"/>
  <c r="V33" i="11"/>
  <c r="W33" i="11" s="1"/>
  <c r="T33" i="11"/>
  <c r="U33" i="11" s="1"/>
  <c r="R33" i="11"/>
  <c r="S33" i="11" s="1"/>
  <c r="K33" i="11"/>
  <c r="L33" i="11" s="1"/>
  <c r="I33" i="11"/>
  <c r="J33" i="11" s="1"/>
  <c r="G33" i="11"/>
  <c r="H33" i="11" s="1"/>
  <c r="E33" i="11"/>
  <c r="F33" i="11" s="1"/>
  <c r="C33" i="11"/>
  <c r="D33" i="11" s="1"/>
  <c r="Z32" i="11"/>
  <c r="AA32" i="11" s="1"/>
  <c r="X32" i="11"/>
  <c r="Y32" i="11" s="1"/>
  <c r="V32" i="11"/>
  <c r="W32" i="11" s="1"/>
  <c r="T32" i="11"/>
  <c r="U32" i="11" s="1"/>
  <c r="R32" i="11"/>
  <c r="S32" i="11" s="1"/>
  <c r="K32" i="11"/>
  <c r="L32" i="11" s="1"/>
  <c r="I32" i="11"/>
  <c r="J32" i="11" s="1"/>
  <c r="G32" i="11"/>
  <c r="H32" i="11" s="1"/>
  <c r="E32" i="11"/>
  <c r="F32" i="11" s="1"/>
  <c r="C32" i="11"/>
  <c r="D32" i="11" s="1"/>
  <c r="Z31" i="11"/>
  <c r="AA31" i="11" s="1"/>
  <c r="X31" i="11"/>
  <c r="Y31" i="11" s="1"/>
  <c r="V31" i="11"/>
  <c r="W31" i="11" s="1"/>
  <c r="T31" i="11"/>
  <c r="U31" i="11" s="1"/>
  <c r="R31" i="11"/>
  <c r="S31" i="11" s="1"/>
  <c r="K31" i="11"/>
  <c r="L31" i="11" s="1"/>
  <c r="I31" i="11"/>
  <c r="J31" i="11" s="1"/>
  <c r="G31" i="11"/>
  <c r="H31" i="11" s="1"/>
  <c r="E31" i="11"/>
  <c r="F31" i="11" s="1"/>
  <c r="C31" i="11"/>
  <c r="D31" i="11" s="1"/>
  <c r="Z30" i="11"/>
  <c r="AA30" i="11" s="1"/>
  <c r="X30" i="11"/>
  <c r="Y30" i="11" s="1"/>
  <c r="V30" i="11"/>
  <c r="W30" i="11" s="1"/>
  <c r="T30" i="11"/>
  <c r="U30" i="11" s="1"/>
  <c r="R30" i="11"/>
  <c r="S30" i="11" s="1"/>
  <c r="K30" i="11"/>
  <c r="L52" i="11" s="1"/>
  <c r="L58" i="11" s="1"/>
  <c r="G30" i="11"/>
  <c r="H30" i="11" s="1"/>
  <c r="E30" i="11"/>
  <c r="F30" i="11" s="1"/>
  <c r="C30" i="11"/>
  <c r="D30" i="11" s="1"/>
  <c r="Z29" i="11"/>
  <c r="AA29" i="11" s="1"/>
  <c r="X29" i="11"/>
  <c r="Y29" i="11" s="1"/>
  <c r="V29" i="11"/>
  <c r="W29" i="11" s="1"/>
  <c r="T29" i="11"/>
  <c r="U29" i="11" s="1"/>
  <c r="R29" i="11"/>
  <c r="S29" i="11" s="1"/>
  <c r="K29" i="11"/>
  <c r="L29" i="11" s="1"/>
  <c r="I29" i="11"/>
  <c r="J29" i="11" s="1"/>
  <c r="G29" i="11"/>
  <c r="H29" i="11" s="1"/>
  <c r="E29" i="11"/>
  <c r="F29" i="11" s="1"/>
  <c r="Z28" i="11"/>
  <c r="AA28" i="11" s="1"/>
  <c r="X28" i="11"/>
  <c r="Y28" i="11" s="1"/>
  <c r="V28" i="11"/>
  <c r="W28" i="11" s="1"/>
  <c r="T28" i="11"/>
  <c r="R28" i="11"/>
  <c r="S28" i="11" s="1"/>
  <c r="K28" i="11"/>
  <c r="L28" i="11" s="1"/>
  <c r="I28" i="11"/>
  <c r="J28" i="11" s="1"/>
  <c r="G28" i="11"/>
  <c r="H28" i="11" s="1"/>
  <c r="E28" i="11"/>
  <c r="F28" i="11" s="1"/>
  <c r="C28" i="11"/>
  <c r="D28" i="11" s="1"/>
  <c r="Z27" i="11"/>
  <c r="AA27" i="11" s="1"/>
  <c r="X27" i="11"/>
  <c r="V27" i="11"/>
  <c r="T27" i="11"/>
  <c r="R27" i="11"/>
  <c r="S27" i="11" s="1"/>
  <c r="K27" i="11"/>
  <c r="L27" i="11" s="1"/>
  <c r="I27" i="11"/>
  <c r="J27" i="11" s="1"/>
  <c r="G27" i="11"/>
  <c r="H27" i="11" s="1"/>
  <c r="E27" i="11"/>
  <c r="F27" i="11" s="1"/>
  <c r="C27" i="11"/>
  <c r="K13" i="11"/>
  <c r="L13" i="11" s="1"/>
  <c r="I13" i="11"/>
  <c r="J13" i="11" s="1"/>
  <c r="G13" i="11"/>
  <c r="H13" i="11" s="1"/>
  <c r="E13" i="11"/>
  <c r="F13" i="11" s="1"/>
  <c r="C13" i="11"/>
  <c r="D13" i="11" s="1"/>
  <c r="K12" i="11"/>
  <c r="L12" i="11" s="1"/>
  <c r="I12" i="11"/>
  <c r="J12" i="11" s="1"/>
  <c r="G12" i="11"/>
  <c r="H12" i="11" s="1"/>
  <c r="E12" i="11"/>
  <c r="C12" i="11"/>
  <c r="D12" i="11" s="1"/>
  <c r="Z11" i="11"/>
  <c r="AA11" i="11" s="1"/>
  <c r="X11" i="11"/>
  <c r="Y11" i="11" s="1"/>
  <c r="T11" i="11"/>
  <c r="U11" i="11" s="1"/>
  <c r="R11" i="11"/>
  <c r="S11" i="11" s="1"/>
  <c r="K11" i="11"/>
  <c r="L11" i="11" s="1"/>
  <c r="I11" i="11"/>
  <c r="J11" i="11" s="1"/>
  <c r="G11" i="11"/>
  <c r="H11" i="11" s="1"/>
  <c r="E11" i="11"/>
  <c r="F11" i="11" s="1"/>
  <c r="C11" i="11"/>
  <c r="D11" i="11" s="1"/>
  <c r="Z10" i="11"/>
  <c r="AA10" i="11" s="1"/>
  <c r="X10" i="11"/>
  <c r="Y10" i="11" s="1"/>
  <c r="V10" i="11"/>
  <c r="W10" i="11" s="1"/>
  <c r="T10" i="11"/>
  <c r="U10" i="11" s="1"/>
  <c r="R10" i="11"/>
  <c r="S10" i="11" s="1"/>
  <c r="K10" i="11"/>
  <c r="L10" i="11" s="1"/>
  <c r="I10" i="11"/>
  <c r="J10" i="11" s="1"/>
  <c r="G10" i="11"/>
  <c r="H10" i="11" s="1"/>
  <c r="E10" i="11"/>
  <c r="F10" i="11" s="1"/>
  <c r="C10" i="11"/>
  <c r="D10" i="11" s="1"/>
  <c r="Z9" i="11"/>
  <c r="AA9" i="11" s="1"/>
  <c r="X9" i="11"/>
  <c r="Y9" i="11" s="1"/>
  <c r="V9" i="11"/>
  <c r="W9" i="11" s="1"/>
  <c r="T9" i="11"/>
  <c r="U9" i="11" s="1"/>
  <c r="R9" i="11"/>
  <c r="S9" i="11" s="1"/>
  <c r="K9" i="11"/>
  <c r="L9" i="11" s="1"/>
  <c r="I9" i="11"/>
  <c r="J9" i="11" s="1"/>
  <c r="G9" i="11"/>
  <c r="H9" i="11" s="1"/>
  <c r="E9" i="11"/>
  <c r="F9" i="11" s="1"/>
  <c r="C9" i="11"/>
  <c r="D9" i="11" s="1"/>
  <c r="Z8" i="11"/>
  <c r="AA8" i="11" s="1"/>
  <c r="X8" i="11"/>
  <c r="Y8" i="11" s="1"/>
  <c r="V8" i="11"/>
  <c r="W8" i="11" s="1"/>
  <c r="T8" i="11"/>
  <c r="U8" i="11" s="1"/>
  <c r="R8" i="11"/>
  <c r="S8" i="11" s="1"/>
  <c r="G8" i="11"/>
  <c r="H8" i="11" s="1"/>
  <c r="E8" i="11"/>
  <c r="F8" i="11" s="1"/>
  <c r="C8" i="11"/>
  <c r="D8" i="11" s="1"/>
  <c r="Z7" i="11"/>
  <c r="AA7" i="11" s="1"/>
  <c r="X7" i="11"/>
  <c r="Y7" i="11" s="1"/>
  <c r="V7" i="11"/>
  <c r="W7" i="11" s="1"/>
  <c r="T7" i="11"/>
  <c r="U7" i="11" s="1"/>
  <c r="R7" i="11"/>
  <c r="S7" i="11" s="1"/>
  <c r="K7" i="11"/>
  <c r="L7" i="11" s="1"/>
  <c r="I7" i="11"/>
  <c r="J7" i="11" s="1"/>
  <c r="G7" i="11"/>
  <c r="H7" i="11" s="1"/>
  <c r="E7" i="11"/>
  <c r="F7" i="11" s="1"/>
  <c r="C7" i="11"/>
  <c r="D7" i="11" s="1"/>
  <c r="Z6" i="11"/>
  <c r="AA6" i="11" s="1"/>
  <c r="X6" i="11"/>
  <c r="Y6" i="11" s="1"/>
  <c r="V6" i="11"/>
  <c r="W6" i="11" s="1"/>
  <c r="T6" i="11"/>
  <c r="U6" i="11" s="1"/>
  <c r="R6" i="11"/>
  <c r="S6" i="11" s="1"/>
  <c r="K6" i="11"/>
  <c r="L6" i="11" s="1"/>
  <c r="I6" i="11"/>
  <c r="J6" i="11" s="1"/>
  <c r="G6" i="11"/>
  <c r="H6" i="11" s="1"/>
  <c r="E6" i="11"/>
  <c r="F6" i="11" s="1"/>
  <c r="C6" i="11"/>
  <c r="D6" i="11" s="1"/>
  <c r="Z5" i="11"/>
  <c r="AA5" i="11" s="1"/>
  <c r="X5" i="11"/>
  <c r="Y5" i="11" s="1"/>
  <c r="V5" i="11"/>
  <c r="W5" i="11" s="1"/>
  <c r="T5" i="11"/>
  <c r="R5" i="11"/>
  <c r="K5" i="11"/>
  <c r="L5" i="11" s="1"/>
  <c r="I5" i="11"/>
  <c r="G5" i="11"/>
  <c r="H5" i="11" s="1"/>
  <c r="E5" i="11"/>
  <c r="F5" i="11" s="1"/>
  <c r="C5" i="11"/>
  <c r="C15" i="11" s="1"/>
  <c r="C70" i="11" l="1"/>
  <c r="Y27" i="11"/>
  <c r="Y70" i="11" s="1"/>
  <c r="X34" i="11"/>
  <c r="J5" i="11"/>
  <c r="I15" i="11"/>
  <c r="R12" i="11"/>
  <c r="C16" i="11"/>
  <c r="D5" i="11"/>
  <c r="F50" i="11"/>
  <c r="V35" i="11"/>
  <c r="V36" i="11" s="1"/>
  <c r="F71" i="11"/>
  <c r="S71" i="11"/>
  <c r="S50" i="11"/>
  <c r="AA71" i="11"/>
  <c r="AA50" i="11"/>
  <c r="J72" i="11"/>
  <c r="J51" i="11"/>
  <c r="W72" i="11"/>
  <c r="W51" i="11"/>
  <c r="F73" i="11"/>
  <c r="F52" i="11"/>
  <c r="U73" i="11"/>
  <c r="U52" i="11"/>
  <c r="D74" i="11"/>
  <c r="D53" i="11"/>
  <c r="L74" i="11"/>
  <c r="L53" i="11"/>
  <c r="Y74" i="11"/>
  <c r="Y53" i="11"/>
  <c r="H75" i="11"/>
  <c r="H54" i="11"/>
  <c r="U75" i="11"/>
  <c r="U54" i="11"/>
  <c r="D76" i="11"/>
  <c r="D55" i="11"/>
  <c r="L76" i="11"/>
  <c r="L55" i="11"/>
  <c r="Y76" i="11"/>
  <c r="Y55" i="11"/>
  <c r="H77" i="11"/>
  <c r="H56" i="11"/>
  <c r="F78" i="11"/>
  <c r="F57" i="11"/>
  <c r="L49" i="11"/>
  <c r="L70" i="11"/>
  <c r="H71" i="11"/>
  <c r="H50" i="11"/>
  <c r="L51" i="11"/>
  <c r="L72" i="11"/>
  <c r="Y72" i="11"/>
  <c r="Y51" i="11"/>
  <c r="H73" i="11"/>
  <c r="H52" i="11"/>
  <c r="W73" i="11"/>
  <c r="W52" i="11"/>
  <c r="F74" i="11"/>
  <c r="F53" i="11"/>
  <c r="S74" i="11"/>
  <c r="S53" i="11"/>
  <c r="AA74" i="11"/>
  <c r="AA53" i="11"/>
  <c r="J75" i="11"/>
  <c r="J54" i="11"/>
  <c r="W75" i="11"/>
  <c r="W54" i="11"/>
  <c r="F76" i="11"/>
  <c r="F55" i="11"/>
  <c r="S76" i="11"/>
  <c r="S55" i="11"/>
  <c r="AA76" i="11"/>
  <c r="AA55" i="11"/>
  <c r="J77" i="11"/>
  <c r="J56" i="11"/>
  <c r="H78" i="11"/>
  <c r="H57" i="11"/>
  <c r="U5" i="11"/>
  <c r="U12" i="11" s="1"/>
  <c r="T12" i="11"/>
  <c r="T13" i="11"/>
  <c r="F36" i="11"/>
  <c r="F70" i="11"/>
  <c r="S34" i="11"/>
  <c r="S35" i="11"/>
  <c r="S36" i="11" s="1"/>
  <c r="AA70" i="11"/>
  <c r="AA49" i="11"/>
  <c r="J50" i="11"/>
  <c r="J71" i="11"/>
  <c r="W50" i="11"/>
  <c r="W71" i="11"/>
  <c r="F72" i="11"/>
  <c r="F51" i="11"/>
  <c r="S72" i="11"/>
  <c r="S51" i="11"/>
  <c r="AA72" i="11"/>
  <c r="AA51" i="11"/>
  <c r="Y73" i="11"/>
  <c r="Y52" i="11"/>
  <c r="H74" i="11"/>
  <c r="H53" i="11"/>
  <c r="U74" i="11"/>
  <c r="U53" i="11"/>
  <c r="D75" i="11"/>
  <c r="D54" i="11"/>
  <c r="L54" i="11"/>
  <c r="L75" i="11"/>
  <c r="Y75" i="11"/>
  <c r="Y54" i="11"/>
  <c r="H76" i="11"/>
  <c r="H55" i="11"/>
  <c r="U55" i="11"/>
  <c r="U76" i="11"/>
  <c r="L77" i="11"/>
  <c r="L56" i="11"/>
  <c r="J78" i="11"/>
  <c r="J57" i="11"/>
  <c r="J70" i="11"/>
  <c r="J49" i="11"/>
  <c r="H70" i="11"/>
  <c r="H49" i="11"/>
  <c r="U27" i="11"/>
  <c r="T35" i="11"/>
  <c r="T36" i="11" s="1"/>
  <c r="T34" i="11"/>
  <c r="D71" i="11"/>
  <c r="L50" i="11"/>
  <c r="L71" i="11"/>
  <c r="Y71" i="11"/>
  <c r="Y50" i="11"/>
  <c r="H72" i="11"/>
  <c r="H51" i="11"/>
  <c r="U72" i="11"/>
  <c r="U51" i="11"/>
  <c r="D73" i="11"/>
  <c r="D52" i="11"/>
  <c r="S73" i="11"/>
  <c r="S52" i="11"/>
  <c r="AA73" i="11"/>
  <c r="AA52" i="11"/>
  <c r="J74" i="11"/>
  <c r="J53" i="11"/>
  <c r="W74" i="11"/>
  <c r="W53" i="11"/>
  <c r="F75" i="11"/>
  <c r="F54" i="11"/>
  <c r="S75" i="11"/>
  <c r="S54" i="11"/>
  <c r="AA75" i="11"/>
  <c r="AA54" i="11"/>
  <c r="J76" i="11"/>
  <c r="J55" i="11"/>
  <c r="W76" i="11"/>
  <c r="W55" i="11"/>
  <c r="D78" i="11"/>
  <c r="D57" i="11"/>
  <c r="L78" i="11"/>
  <c r="L57" i="11"/>
  <c r="T71" i="11"/>
  <c r="C51" i="11"/>
  <c r="H37" i="11"/>
  <c r="H38" i="11" s="1"/>
  <c r="S5" i="11"/>
  <c r="U28" i="11"/>
  <c r="U35" i="11" s="1"/>
  <c r="U36" i="11" s="1"/>
  <c r="W27" i="11"/>
  <c r="W35" i="11" s="1"/>
  <c r="W36" i="11" s="1"/>
  <c r="X55" i="11"/>
  <c r="K16" i="11"/>
  <c r="T74" i="11"/>
  <c r="E14" i="11"/>
  <c r="D29" i="11"/>
  <c r="C77" i="11"/>
  <c r="D34" i="11"/>
  <c r="AA12" i="11"/>
  <c r="AA35" i="11"/>
  <c r="AA36" i="11" s="1"/>
  <c r="T52" i="11"/>
  <c r="F12" i="11"/>
  <c r="F14" i="11" s="1"/>
  <c r="D27" i="11"/>
  <c r="G15" i="11"/>
  <c r="G16" i="11" s="1"/>
  <c r="W12" i="11"/>
  <c r="G76" i="11"/>
  <c r="U13" i="11"/>
  <c r="I14" i="11"/>
  <c r="Y12" i="11"/>
  <c r="AA34" i="11"/>
  <c r="G50" i="11"/>
  <c r="G73" i="11"/>
  <c r="G71" i="11"/>
  <c r="Y13" i="11"/>
  <c r="E15" i="11"/>
  <c r="E16" i="11" s="1"/>
  <c r="I16" i="11"/>
  <c r="R13" i="11"/>
  <c r="C62" i="11" s="1"/>
  <c r="W13" i="11"/>
  <c r="AA13" i="11"/>
  <c r="F37" i="11"/>
  <c r="F38" i="11" s="1"/>
  <c r="J37" i="11"/>
  <c r="J38" i="11" s="1"/>
  <c r="X73" i="11"/>
  <c r="C55" i="11"/>
  <c r="G37" i="11"/>
  <c r="G38" i="11" s="1"/>
  <c r="G70" i="11"/>
  <c r="G49" i="11"/>
  <c r="G36" i="11"/>
  <c r="K37" i="11"/>
  <c r="K38" i="11" s="1"/>
  <c r="K36" i="11"/>
  <c r="K49" i="11"/>
  <c r="K70" i="11"/>
  <c r="Y35" i="11"/>
  <c r="Y36" i="11" s="1"/>
  <c r="Y34" i="11"/>
  <c r="Y37" i="11" s="1"/>
  <c r="E71" i="11"/>
  <c r="E50" i="11"/>
  <c r="E37" i="11"/>
  <c r="E38" i="11" s="1"/>
  <c r="I71" i="11"/>
  <c r="I50" i="11"/>
  <c r="R71" i="11"/>
  <c r="R50" i="11"/>
  <c r="R35" i="11"/>
  <c r="R36" i="11" s="1"/>
  <c r="G72" i="11"/>
  <c r="G51" i="11"/>
  <c r="K72" i="11"/>
  <c r="K51" i="11"/>
  <c r="E73" i="11"/>
  <c r="E52" i="11"/>
  <c r="K52" i="11"/>
  <c r="E74" i="11"/>
  <c r="E53" i="11"/>
  <c r="I53" i="11"/>
  <c r="I74" i="11"/>
  <c r="R74" i="11"/>
  <c r="R53" i="11"/>
  <c r="G75" i="11"/>
  <c r="G54" i="11"/>
  <c r="K54" i="11"/>
  <c r="K75" i="11"/>
  <c r="E76" i="11"/>
  <c r="E55" i="11"/>
  <c r="I55" i="11"/>
  <c r="I76" i="11"/>
  <c r="R76" i="11"/>
  <c r="R55" i="11"/>
  <c r="G77" i="11"/>
  <c r="G56" i="11"/>
  <c r="K56" i="11"/>
  <c r="K77" i="11"/>
  <c r="J14" i="11"/>
  <c r="J15" i="11"/>
  <c r="J16" i="11" s="1"/>
  <c r="X12" i="11"/>
  <c r="X49" i="11"/>
  <c r="X13" i="11"/>
  <c r="X72" i="11"/>
  <c r="X53" i="11"/>
  <c r="H15" i="11"/>
  <c r="H16" i="11" s="1"/>
  <c r="L15" i="11"/>
  <c r="L16" i="11" s="1"/>
  <c r="Z13" i="11"/>
  <c r="K57" i="11"/>
  <c r="I57" i="11"/>
  <c r="I78" i="11"/>
  <c r="G14" i="11"/>
  <c r="K14" i="11"/>
  <c r="E70" i="11"/>
  <c r="E49" i="11"/>
  <c r="I70" i="11"/>
  <c r="I49" i="11"/>
  <c r="R70" i="11"/>
  <c r="R49" i="11"/>
  <c r="K71" i="11"/>
  <c r="K50" i="11"/>
  <c r="E72" i="11"/>
  <c r="E51" i="11"/>
  <c r="I72" i="11"/>
  <c r="I51" i="11"/>
  <c r="R72" i="11"/>
  <c r="R51" i="11"/>
  <c r="R52" i="11"/>
  <c r="R73" i="11"/>
  <c r="G53" i="11"/>
  <c r="K74" i="11"/>
  <c r="E54" i="11"/>
  <c r="E75" i="11"/>
  <c r="I75" i="11"/>
  <c r="I54" i="11"/>
  <c r="R54" i="11"/>
  <c r="R75" i="11"/>
  <c r="G55" i="11"/>
  <c r="K76" i="11"/>
  <c r="E56" i="11"/>
  <c r="E77" i="11"/>
  <c r="I77" i="11"/>
  <c r="I56" i="11"/>
  <c r="R34" i="11"/>
  <c r="G57" i="11"/>
  <c r="K78" i="11"/>
  <c r="E36" i="11"/>
  <c r="I36" i="11"/>
  <c r="I37" i="11"/>
  <c r="I38" i="11" s="1"/>
  <c r="C49" i="11"/>
  <c r="T50" i="11"/>
  <c r="G52" i="11"/>
  <c r="K53" i="11"/>
  <c r="C72" i="11"/>
  <c r="E78" i="11"/>
  <c r="E57" i="11"/>
  <c r="V12" i="11"/>
  <c r="Z12" i="11"/>
  <c r="C14" i="11"/>
  <c r="H14" i="11"/>
  <c r="L14" i="11"/>
  <c r="T70" i="11"/>
  <c r="T49" i="11"/>
  <c r="C71" i="11"/>
  <c r="C50" i="11"/>
  <c r="V71" i="11"/>
  <c r="V50" i="11"/>
  <c r="Z71" i="11"/>
  <c r="Z50" i="11"/>
  <c r="T72" i="11"/>
  <c r="T51" i="11"/>
  <c r="C73" i="11"/>
  <c r="C52" i="11"/>
  <c r="T73" i="11"/>
  <c r="X52" i="11"/>
  <c r="C74" i="11"/>
  <c r="V53" i="11"/>
  <c r="V74" i="11"/>
  <c r="Z74" i="11"/>
  <c r="Z53" i="11"/>
  <c r="T75" i="11"/>
  <c r="X54" i="11"/>
  <c r="C76" i="11"/>
  <c r="V55" i="11"/>
  <c r="V76" i="11"/>
  <c r="Z76" i="11"/>
  <c r="Z55" i="11"/>
  <c r="C78" i="11"/>
  <c r="Z35" i="11"/>
  <c r="Z36" i="11" s="1"/>
  <c r="J36" i="11"/>
  <c r="C37" i="11"/>
  <c r="C38" i="11" s="1"/>
  <c r="L37" i="11"/>
  <c r="L38" i="11" s="1"/>
  <c r="K55" i="11"/>
  <c r="C57" i="11"/>
  <c r="X70" i="11"/>
  <c r="G74" i="11"/>
  <c r="X75" i="11"/>
  <c r="V13" i="11"/>
  <c r="V70" i="11"/>
  <c r="V49" i="11"/>
  <c r="Z70" i="11"/>
  <c r="Z49" i="11"/>
  <c r="X71" i="11"/>
  <c r="X50" i="11"/>
  <c r="V72" i="11"/>
  <c r="V51" i="11"/>
  <c r="Z72" i="11"/>
  <c r="Z51" i="11"/>
  <c r="V73" i="11"/>
  <c r="V52" i="11"/>
  <c r="Z52" i="11"/>
  <c r="Z73" i="11"/>
  <c r="T53" i="11"/>
  <c r="X74" i="11"/>
  <c r="C54" i="11"/>
  <c r="V75" i="11"/>
  <c r="V54" i="11"/>
  <c r="Z54" i="11"/>
  <c r="Z75" i="11"/>
  <c r="T55" i="11"/>
  <c r="X76" i="11"/>
  <c r="C56" i="11"/>
  <c r="V34" i="11"/>
  <c r="Z34" i="11"/>
  <c r="X35" i="11"/>
  <c r="X36" i="11" s="1"/>
  <c r="C36" i="11"/>
  <c r="H36" i="11"/>
  <c r="X51" i="11"/>
  <c r="C53" i="11"/>
  <c r="T54" i="11"/>
  <c r="C75" i="11"/>
  <c r="T76" i="11"/>
  <c r="G78" i="11"/>
  <c r="Y49" i="11" l="1"/>
  <c r="C39" i="11"/>
  <c r="J17" i="11"/>
  <c r="L61" i="11"/>
  <c r="R37" i="11"/>
  <c r="H62" i="11"/>
  <c r="J62" i="11"/>
  <c r="J61" i="11" s="1"/>
  <c r="AA37" i="11"/>
  <c r="Z37" i="11"/>
  <c r="R14" i="11"/>
  <c r="E39" i="11"/>
  <c r="E17" i="11"/>
  <c r="K17" i="11"/>
  <c r="T37" i="11"/>
  <c r="L17" i="11"/>
  <c r="D15" i="11"/>
  <c r="D16" i="11" s="1"/>
  <c r="D14" i="11"/>
  <c r="H17" i="11"/>
  <c r="I39" i="11"/>
  <c r="I17" i="11"/>
  <c r="G17" i="11"/>
  <c r="D36" i="11"/>
  <c r="W34" i="11"/>
  <c r="W37" i="11" s="1"/>
  <c r="C59" i="11"/>
  <c r="C58" i="11"/>
  <c r="V37" i="11"/>
  <c r="X37" i="11"/>
  <c r="U34" i="11"/>
  <c r="U37" i="11" s="1"/>
  <c r="L79" i="11"/>
  <c r="V77" i="11"/>
  <c r="V78" i="11"/>
  <c r="V79" i="11" s="1"/>
  <c r="X78" i="11"/>
  <c r="X79" i="11" s="1"/>
  <c r="X77" i="11"/>
  <c r="Z56" i="11"/>
  <c r="Z57" i="11"/>
  <c r="Z58" i="11" s="1"/>
  <c r="V14" i="11"/>
  <c r="T57" i="11"/>
  <c r="T58" i="11" s="1"/>
  <c r="T56" i="11"/>
  <c r="E59" i="11"/>
  <c r="E60" i="11" s="1"/>
  <c r="E58" i="11"/>
  <c r="K79" i="11"/>
  <c r="K80" i="11"/>
  <c r="K81" i="11" s="1"/>
  <c r="G39" i="11"/>
  <c r="AA14" i="11"/>
  <c r="U71" i="11"/>
  <c r="U50" i="11"/>
  <c r="U70" i="11"/>
  <c r="U49" i="11"/>
  <c r="J58" i="11"/>
  <c r="J59" i="11"/>
  <c r="J60" i="11" s="1"/>
  <c r="AA57" i="11"/>
  <c r="AA58" i="11" s="1"/>
  <c r="L80" i="11"/>
  <c r="L81" i="11" s="1"/>
  <c r="Z77" i="11"/>
  <c r="Z78" i="11"/>
  <c r="Z79" i="11" s="1"/>
  <c r="T78" i="11"/>
  <c r="T79" i="11" s="1"/>
  <c r="T77" i="11"/>
  <c r="E79" i="11"/>
  <c r="E80" i="11"/>
  <c r="E81" i="11" s="1"/>
  <c r="K58" i="11"/>
  <c r="K59" i="11"/>
  <c r="K60" i="11" s="1"/>
  <c r="G58" i="11"/>
  <c r="G59" i="11"/>
  <c r="G60" i="11" s="1"/>
  <c r="W14" i="11"/>
  <c r="Y14" i="11"/>
  <c r="D77" i="11"/>
  <c r="D56" i="11"/>
  <c r="S12" i="11"/>
  <c r="S13" i="11"/>
  <c r="H59" i="11"/>
  <c r="H60" i="11" s="1"/>
  <c r="H58" i="11"/>
  <c r="J79" i="11"/>
  <c r="J80" i="11"/>
  <c r="J81" i="11" s="1"/>
  <c r="AA77" i="11"/>
  <c r="AA78" i="11"/>
  <c r="AA79" i="11" s="1"/>
  <c r="S49" i="11"/>
  <c r="S56" i="11" s="1"/>
  <c r="T14" i="11"/>
  <c r="L59" i="11"/>
  <c r="L60" i="11" s="1"/>
  <c r="I59" i="11"/>
  <c r="I60" i="11" s="1"/>
  <c r="I58" i="11"/>
  <c r="X14" i="11"/>
  <c r="K39" i="11"/>
  <c r="G79" i="11"/>
  <c r="G80" i="11"/>
  <c r="G81" i="11" s="1"/>
  <c r="U14" i="11"/>
  <c r="D70" i="11"/>
  <c r="D37" i="11"/>
  <c r="D38" i="11" s="1"/>
  <c r="F56" i="11"/>
  <c r="H79" i="11"/>
  <c r="H80" i="11"/>
  <c r="H81" i="11" s="1"/>
  <c r="Y56" i="11"/>
  <c r="Y57" i="11"/>
  <c r="Y58" i="11" s="1"/>
  <c r="V56" i="11"/>
  <c r="V57" i="11"/>
  <c r="V58" i="11" s="1"/>
  <c r="I79" i="11"/>
  <c r="I80" i="11"/>
  <c r="I81" i="11" s="1"/>
  <c r="Z14" i="11"/>
  <c r="X57" i="11"/>
  <c r="X58" i="11" s="1"/>
  <c r="X56" i="11"/>
  <c r="D72" i="11"/>
  <c r="D51" i="11"/>
  <c r="W70" i="11"/>
  <c r="W49" i="11"/>
  <c r="F77" i="11"/>
  <c r="F80" i="11" s="1"/>
  <c r="F81" i="11" s="1"/>
  <c r="S70" i="11"/>
  <c r="Y77" i="11"/>
  <c r="Y78" i="11"/>
  <c r="Y79" i="11" s="1"/>
  <c r="R15" i="11"/>
  <c r="F16" i="11"/>
  <c r="C79" i="11"/>
  <c r="C17" i="11"/>
  <c r="R56" i="11"/>
  <c r="R57" i="11"/>
  <c r="R58" i="11" s="1"/>
  <c r="C60" i="11"/>
  <c r="C80" i="11"/>
  <c r="C81" i="11" s="1"/>
  <c r="R78" i="11"/>
  <c r="R79" i="11" s="1"/>
  <c r="R77" i="11"/>
  <c r="Z59" i="11" l="1"/>
  <c r="F17" i="11"/>
  <c r="D39" i="11"/>
  <c r="D17" i="11"/>
  <c r="S37" i="11"/>
  <c r="S15" i="11"/>
  <c r="D79" i="11"/>
  <c r="D80" i="11"/>
  <c r="D81" i="11" s="1"/>
  <c r="F59" i="11"/>
  <c r="F60" i="11" s="1"/>
  <c r="C61" i="11"/>
  <c r="F79" i="11"/>
  <c r="W77" i="11"/>
  <c r="W78" i="11"/>
  <c r="W79" i="11" s="1"/>
  <c r="U77" i="11"/>
  <c r="U78" i="11"/>
  <c r="U79" i="11" s="1"/>
  <c r="S77" i="11"/>
  <c r="S78" i="11"/>
  <c r="S79" i="11" s="1"/>
  <c r="S14" i="11"/>
  <c r="W56" i="11"/>
  <c r="W57" i="11"/>
  <c r="W58" i="11" s="1"/>
  <c r="D60" i="11"/>
  <c r="S57" i="11"/>
  <c r="S58" i="11" s="1"/>
  <c r="U56" i="11"/>
  <c r="U57" i="11"/>
  <c r="U58" i="11" s="1"/>
  <c r="V59" i="11"/>
  <c r="X59" i="11"/>
  <c r="T59" i="11"/>
  <c r="W56" i="13"/>
  <c r="AF54" i="13"/>
  <c r="O33" i="13"/>
  <c r="O14" i="13"/>
  <c r="O51" i="13"/>
  <c r="F53" i="13"/>
  <c r="W56" i="7" l="1"/>
  <c r="AF54" i="7"/>
  <c r="P31" i="7"/>
  <c r="P32" i="7"/>
  <c r="P33" i="7" s="1"/>
  <c r="M33" i="7"/>
  <c r="M32" i="7"/>
  <c r="M31" i="7"/>
  <c r="M14" i="7"/>
  <c r="M13" i="7"/>
  <c r="M12" i="7"/>
  <c r="AF53" i="7"/>
  <c r="AF52" i="7"/>
  <c r="AF51" i="7"/>
  <c r="L38" i="16"/>
  <c r="L46" i="16"/>
  <c r="E65" i="16"/>
  <c r="M65" i="16"/>
  <c r="L65" i="16"/>
  <c r="E33" i="16"/>
  <c r="F33" i="16"/>
  <c r="D33" i="16"/>
  <c r="L32" i="16"/>
  <c r="M32" i="16"/>
  <c r="K32" i="16"/>
  <c r="L56" i="16"/>
  <c r="M56" i="16"/>
  <c r="L57" i="16"/>
  <c r="M57" i="16"/>
  <c r="L58" i="16"/>
  <c r="M58" i="16"/>
  <c r="L59" i="16"/>
  <c r="M59" i="16"/>
  <c r="M66" i="16" s="1"/>
  <c r="M67" i="16" s="1"/>
  <c r="L60" i="16"/>
  <c r="M60" i="16"/>
  <c r="L61" i="16"/>
  <c r="M61" i="16"/>
  <c r="L62" i="16"/>
  <c r="M62" i="16"/>
  <c r="K57" i="16"/>
  <c r="K58" i="16"/>
  <c r="K59" i="16"/>
  <c r="K60" i="16"/>
  <c r="K61" i="16"/>
  <c r="K62" i="16"/>
  <c r="K56" i="16"/>
  <c r="E56" i="16"/>
  <c r="F56" i="16"/>
  <c r="E57" i="16"/>
  <c r="F57" i="16"/>
  <c r="F66" i="16" s="1"/>
  <c r="F67" i="16" s="1"/>
  <c r="E58" i="16"/>
  <c r="F58" i="16"/>
  <c r="E59" i="16"/>
  <c r="F59" i="16"/>
  <c r="E60" i="16"/>
  <c r="F60" i="16"/>
  <c r="E61" i="16"/>
  <c r="F61" i="16"/>
  <c r="E62" i="16"/>
  <c r="F62" i="16"/>
  <c r="E63" i="16"/>
  <c r="F63" i="16"/>
  <c r="E64" i="16"/>
  <c r="F64" i="16"/>
  <c r="D57" i="16"/>
  <c r="D58" i="16"/>
  <c r="D59" i="16"/>
  <c r="D60" i="16"/>
  <c r="D66" i="16" s="1"/>
  <c r="D67" i="16" s="1"/>
  <c r="D61" i="16"/>
  <c r="D62" i="16"/>
  <c r="D63" i="16"/>
  <c r="D64" i="16"/>
  <c r="D56" i="16"/>
  <c r="L66" i="16"/>
  <c r="L67" i="16" s="1"/>
  <c r="E66" i="16"/>
  <c r="E67" i="16" s="1"/>
  <c r="L37" i="16"/>
  <c r="M37" i="16"/>
  <c r="M38" i="16"/>
  <c r="M47" i="16" s="1"/>
  <c r="M48" i="16" s="1"/>
  <c r="L39" i="16"/>
  <c r="M39" i="16"/>
  <c r="L40" i="16"/>
  <c r="M40" i="16"/>
  <c r="L41" i="16"/>
  <c r="M41" i="16"/>
  <c r="L42" i="16"/>
  <c r="M42" i="16"/>
  <c r="L43" i="16"/>
  <c r="M43" i="16"/>
  <c r="K38" i="16"/>
  <c r="K39" i="16"/>
  <c r="K40" i="16"/>
  <c r="K41" i="16"/>
  <c r="K42" i="16"/>
  <c r="K43" i="16"/>
  <c r="K37" i="16"/>
  <c r="K46" i="16" s="1"/>
  <c r="E37" i="16"/>
  <c r="F37" i="16"/>
  <c r="E38" i="16"/>
  <c r="F38" i="16"/>
  <c r="F47" i="16" s="1"/>
  <c r="F48" i="16" s="1"/>
  <c r="E39" i="16"/>
  <c r="F39" i="16"/>
  <c r="E40" i="16"/>
  <c r="F40" i="16"/>
  <c r="E41" i="16"/>
  <c r="F41" i="16"/>
  <c r="E42" i="16"/>
  <c r="F42" i="16"/>
  <c r="E43" i="16"/>
  <c r="F43" i="16"/>
  <c r="E44" i="16"/>
  <c r="F44" i="16"/>
  <c r="E45" i="16"/>
  <c r="F45" i="16"/>
  <c r="D38" i="16"/>
  <c r="D39" i="16"/>
  <c r="D40" i="16"/>
  <c r="D41" i="16"/>
  <c r="D42" i="16"/>
  <c r="D43" i="16"/>
  <c r="D44" i="16"/>
  <c r="D45" i="16"/>
  <c r="D37" i="16"/>
  <c r="D47" i="16" s="1"/>
  <c r="D48" i="16" s="1"/>
  <c r="L47" i="16"/>
  <c r="L48" i="16" s="1"/>
  <c r="E47" i="16"/>
  <c r="E48" i="16" s="1"/>
  <c r="F46" i="16"/>
  <c r="E46" i="16"/>
  <c r="E32" i="16"/>
  <c r="D32" i="16"/>
  <c r="F31" i="16"/>
  <c r="F32" i="16" s="1"/>
  <c r="E31" i="16"/>
  <c r="D31" i="16"/>
  <c r="F30" i="16"/>
  <c r="E30" i="16"/>
  <c r="D30" i="16"/>
  <c r="E13" i="16"/>
  <c r="F13" i="16"/>
  <c r="E14" i="16"/>
  <c r="E15" i="16" s="1"/>
  <c r="F14" i="16"/>
  <c r="F15" i="16" s="1"/>
  <c r="L31" i="16"/>
  <c r="K31" i="16"/>
  <c r="M30" i="16"/>
  <c r="M31" i="16" s="1"/>
  <c r="L30" i="16"/>
  <c r="K30" i="16"/>
  <c r="M29" i="16"/>
  <c r="L29" i="16"/>
  <c r="K29" i="16"/>
  <c r="L13" i="16"/>
  <c r="M13" i="16"/>
  <c r="L14" i="16"/>
  <c r="M14" i="16"/>
  <c r="M15" i="16" s="1"/>
  <c r="L15" i="16"/>
  <c r="K14" i="16"/>
  <c r="K15" i="16" s="1"/>
  <c r="K13" i="16"/>
  <c r="D14" i="16"/>
  <c r="D15" i="16" s="1"/>
  <c r="D13" i="16"/>
  <c r="K66" i="16" l="1"/>
  <c r="K67" i="16" s="1"/>
  <c r="K65" i="16"/>
  <c r="F65" i="16"/>
  <c r="D65" i="16"/>
  <c r="M46" i="16"/>
  <c r="K47" i="16"/>
  <c r="K48" i="16" s="1"/>
  <c r="D46" i="16"/>
  <c r="V25" i="15"/>
  <c r="V26" i="15"/>
  <c r="V27" i="15"/>
  <c r="V28" i="15"/>
  <c r="V29" i="15"/>
  <c r="V30" i="15"/>
  <c r="P25" i="15"/>
  <c r="P26" i="15"/>
  <c r="P27" i="15"/>
  <c r="P28" i="15"/>
  <c r="P29" i="15"/>
  <c r="P30" i="15"/>
  <c r="P31" i="15"/>
  <c r="P32" i="15"/>
  <c r="V5" i="15"/>
  <c r="V6" i="15"/>
  <c r="V7" i="15"/>
  <c r="V8" i="15"/>
  <c r="V9" i="15"/>
  <c r="V10" i="15"/>
  <c r="P5" i="15"/>
  <c r="P6" i="15"/>
  <c r="P7" i="15"/>
  <c r="P8" i="15"/>
  <c r="P9" i="15"/>
  <c r="P10" i="15"/>
  <c r="P11" i="15"/>
  <c r="P12" i="15"/>
  <c r="K30" i="15"/>
  <c r="L30" i="15" s="1"/>
  <c r="K29" i="15"/>
  <c r="L29" i="15" s="1"/>
  <c r="K28" i="15"/>
  <c r="L28" i="15" s="1"/>
  <c r="K27" i="15"/>
  <c r="L27" i="15" s="1"/>
  <c r="K26" i="15"/>
  <c r="L26" i="15" s="1"/>
  <c r="K25" i="15"/>
  <c r="L25" i="15" s="1"/>
  <c r="K24" i="15"/>
  <c r="K10" i="15"/>
  <c r="L10" i="15" s="1"/>
  <c r="K9" i="15"/>
  <c r="L9" i="15" s="1"/>
  <c r="K8" i="15"/>
  <c r="L8" i="15" s="1"/>
  <c r="K7" i="15"/>
  <c r="L7" i="15" s="1"/>
  <c r="K6" i="15"/>
  <c r="K5" i="15"/>
  <c r="L5" i="15" s="1"/>
  <c r="K4" i="15"/>
  <c r="E32" i="15"/>
  <c r="F32" i="15" s="1"/>
  <c r="E31" i="15"/>
  <c r="F31" i="15" s="1"/>
  <c r="E30" i="15"/>
  <c r="F30" i="15" s="1"/>
  <c r="E29" i="15"/>
  <c r="E28" i="15"/>
  <c r="F28" i="15" s="1"/>
  <c r="E27" i="15"/>
  <c r="F27" i="15" s="1"/>
  <c r="E26" i="15"/>
  <c r="F26" i="15" s="1"/>
  <c r="E25" i="15"/>
  <c r="F25" i="15" s="1"/>
  <c r="E24" i="15"/>
  <c r="E12" i="15"/>
  <c r="F12" i="15" s="1"/>
  <c r="E11" i="15"/>
  <c r="F11" i="15" s="1"/>
  <c r="E10" i="15"/>
  <c r="F10" i="15" s="1"/>
  <c r="E9" i="15"/>
  <c r="F9" i="15" s="1"/>
  <c r="E8" i="15"/>
  <c r="F8" i="15" s="1"/>
  <c r="E7" i="15"/>
  <c r="F7" i="15" s="1"/>
  <c r="E6" i="15"/>
  <c r="F6" i="15" s="1"/>
  <c r="E5" i="15"/>
  <c r="F5" i="15" s="1"/>
  <c r="E4" i="15"/>
  <c r="G57" i="13"/>
  <c r="G58" i="13"/>
  <c r="O54" i="13"/>
  <c r="O53" i="13"/>
  <c r="O52" i="13"/>
  <c r="P55" i="13"/>
  <c r="P56" i="13" s="1"/>
  <c r="N56" i="13"/>
  <c r="N55" i="13"/>
  <c r="N31" i="13"/>
  <c r="P31" i="13"/>
  <c r="N32" i="13"/>
  <c r="N33" i="13" s="1"/>
  <c r="P32" i="13"/>
  <c r="P33" i="13"/>
  <c r="E33" i="13"/>
  <c r="G33" i="13"/>
  <c r="E34" i="13"/>
  <c r="F35" i="13"/>
  <c r="G34" i="13"/>
  <c r="E35" i="13"/>
  <c r="G35" i="13"/>
  <c r="N12" i="13"/>
  <c r="P12" i="13"/>
  <c r="N13" i="13"/>
  <c r="P13" i="13"/>
  <c r="P14" i="13" s="1"/>
  <c r="N14" i="13"/>
  <c r="E14" i="13"/>
  <c r="G14" i="13"/>
  <c r="E15" i="13"/>
  <c r="G15" i="13"/>
  <c r="G16" i="13"/>
  <c r="M56" i="13"/>
  <c r="M51" i="13"/>
  <c r="D53" i="13"/>
  <c r="M33" i="13"/>
  <c r="M32" i="13"/>
  <c r="M31" i="13"/>
  <c r="D35" i="13"/>
  <c r="D34" i="13"/>
  <c r="D33" i="13"/>
  <c r="M14" i="13"/>
  <c r="M13" i="13"/>
  <c r="D16" i="13"/>
  <c r="D15" i="13"/>
  <c r="D14" i="13"/>
  <c r="M12" i="13"/>
  <c r="M55" i="13"/>
  <c r="R26" i="15" l="1"/>
  <c r="R30" i="15"/>
  <c r="X10" i="15"/>
  <c r="R27" i="15"/>
  <c r="R31" i="15"/>
  <c r="X7" i="15"/>
  <c r="Q4" i="15"/>
  <c r="R8" i="15"/>
  <c r="R12" i="15"/>
  <c r="W24" i="15"/>
  <c r="X8" i="15"/>
  <c r="R25" i="15"/>
  <c r="Q29" i="15"/>
  <c r="X25" i="15"/>
  <c r="X29" i="15"/>
  <c r="L24" i="15"/>
  <c r="Q11" i="15"/>
  <c r="Q7" i="15"/>
  <c r="R11" i="15"/>
  <c r="R7" i="15"/>
  <c r="W4" i="15"/>
  <c r="X9" i="15"/>
  <c r="W8" i="15"/>
  <c r="X5" i="15"/>
  <c r="Q24" i="15"/>
  <c r="Q30" i="15"/>
  <c r="Q26" i="15"/>
  <c r="X30" i="15"/>
  <c r="W29" i="15"/>
  <c r="W25" i="15"/>
  <c r="Q10" i="15"/>
  <c r="Q6" i="15"/>
  <c r="R10" i="15"/>
  <c r="R6" i="15"/>
  <c r="W9" i="15"/>
  <c r="W5" i="15"/>
  <c r="R32" i="15"/>
  <c r="Q31" i="15"/>
  <c r="R28" i="15"/>
  <c r="Q27" i="15"/>
  <c r="W30" i="15"/>
  <c r="X27" i="15"/>
  <c r="W26" i="15"/>
  <c r="Q9" i="15"/>
  <c r="Q5" i="15"/>
  <c r="R5" i="15"/>
  <c r="W10" i="15"/>
  <c r="W6" i="15"/>
  <c r="Q32" i="15"/>
  <c r="Q28" i="15"/>
  <c r="X28" i="15"/>
  <c r="W27" i="15"/>
  <c r="F29" i="15"/>
  <c r="Q12" i="15"/>
  <c r="Q8" i="15"/>
  <c r="W7" i="15"/>
  <c r="Q25" i="15"/>
  <c r="W28" i="15"/>
  <c r="K14" i="15"/>
  <c r="E33" i="15"/>
  <c r="K33" i="15"/>
  <c r="E14" i="15"/>
  <c r="E15" i="15" s="1"/>
  <c r="K13" i="15"/>
  <c r="L33" i="15"/>
  <c r="F4" i="15"/>
  <c r="F13" i="15" s="1"/>
  <c r="E13" i="15"/>
  <c r="E34" i="15"/>
  <c r="E35" i="15" s="1"/>
  <c r="L6" i="15"/>
  <c r="X6" i="15" s="1"/>
  <c r="F24" i="15"/>
  <c r="R24" i="15" s="1"/>
  <c r="K34" i="15"/>
  <c r="K35" i="15" s="1"/>
  <c r="L4" i="15"/>
  <c r="E16" i="13"/>
  <c r="V33" i="15"/>
  <c r="L34" i="15" l="1"/>
  <c r="L35" i="15" s="1"/>
  <c r="X24" i="15"/>
  <c r="K36" i="15"/>
  <c r="K15" i="15"/>
  <c r="Q17" i="15"/>
  <c r="W34" i="15"/>
  <c r="W35" i="15" s="1"/>
  <c r="Q14" i="15"/>
  <c r="Q15" i="15" s="1"/>
  <c r="R4" i="15"/>
  <c r="R29" i="15"/>
  <c r="R33" i="15" s="1"/>
  <c r="R9" i="15"/>
  <c r="X26" i="15"/>
  <c r="W33" i="15"/>
  <c r="Q34" i="15"/>
  <c r="Q35" i="15" s="1"/>
  <c r="Q33" i="15"/>
  <c r="W13" i="15"/>
  <c r="W14" i="15"/>
  <c r="W15" i="15" s="1"/>
  <c r="Q13" i="15"/>
  <c r="X4" i="15"/>
  <c r="F34" i="15"/>
  <c r="F35" i="15" s="1"/>
  <c r="F33" i="15"/>
  <c r="F14" i="15"/>
  <c r="F15" i="15" s="1"/>
  <c r="L13" i="15"/>
  <c r="L14" i="15"/>
  <c r="I78" i="9"/>
  <c r="L36" i="15" l="1"/>
  <c r="L15" i="15"/>
  <c r="R17" i="15"/>
  <c r="Q16" i="15"/>
  <c r="X14" i="15"/>
  <c r="X15" i="15" s="1"/>
  <c r="X13" i="15"/>
  <c r="R14" i="15"/>
  <c r="R15" i="15" s="1"/>
  <c r="R13" i="15"/>
  <c r="X33" i="15"/>
  <c r="X34" i="15"/>
  <c r="X35" i="15" s="1"/>
  <c r="R34" i="15"/>
  <c r="R35" i="15" s="1"/>
  <c r="M51" i="7"/>
  <c r="M54" i="7" s="1"/>
  <c r="M52" i="7"/>
  <c r="M53" i="7" s="1"/>
  <c r="M45" i="7"/>
  <c r="M46" i="7"/>
  <c r="M47" i="7"/>
  <c r="M48" i="7"/>
  <c r="M49" i="7"/>
  <c r="M50" i="7"/>
  <c r="M44" i="7"/>
  <c r="AF45" i="7"/>
  <c r="AF46" i="7"/>
  <c r="AF47" i="7"/>
  <c r="AF48" i="7"/>
  <c r="AF49" i="7"/>
  <c r="AF50" i="7"/>
  <c r="AF44" i="7"/>
  <c r="W53" i="7"/>
  <c r="W54" i="7"/>
  <c r="W55" i="7" s="1"/>
  <c r="W45" i="7"/>
  <c r="W46" i="7"/>
  <c r="W47" i="7"/>
  <c r="W48" i="7"/>
  <c r="W49" i="7"/>
  <c r="W50" i="7"/>
  <c r="W51" i="7"/>
  <c r="W52" i="7"/>
  <c r="W44" i="7"/>
  <c r="D53" i="7"/>
  <c r="D56" i="7" s="1"/>
  <c r="D54" i="7"/>
  <c r="D55" i="7" s="1"/>
  <c r="D45" i="7"/>
  <c r="D46" i="7"/>
  <c r="D47" i="7"/>
  <c r="D48" i="7"/>
  <c r="D49" i="7"/>
  <c r="D50" i="7"/>
  <c r="D51" i="7"/>
  <c r="D52" i="7"/>
  <c r="D44" i="7"/>
  <c r="D14" i="7"/>
  <c r="D15" i="7"/>
  <c r="D16" i="7" s="1"/>
  <c r="D33" i="7"/>
  <c r="D34" i="7"/>
  <c r="D35" i="7" s="1"/>
  <c r="R16" i="15" l="1"/>
  <c r="AG54" i="13"/>
  <c r="AD53" i="13"/>
  <c r="AD52" i="13"/>
  <c r="AD51" i="13"/>
  <c r="AE53" i="13"/>
  <c r="AE52" i="13"/>
  <c r="AE51" i="13"/>
  <c r="V54" i="13"/>
  <c r="V53" i="13"/>
  <c r="AU8" i="1"/>
  <c r="U45" i="13"/>
  <c r="U44" i="13"/>
  <c r="AE44" i="13"/>
  <c r="AT68" i="1"/>
  <c r="AA71" i="1"/>
  <c r="AF44" i="13"/>
  <c r="AG44" i="13"/>
  <c r="AE45" i="13"/>
  <c r="AF45" i="13"/>
  <c r="AG45" i="13"/>
  <c r="AE46" i="13"/>
  <c r="AF46" i="13"/>
  <c r="AF53" i="13" s="1"/>
  <c r="AG46" i="13"/>
  <c r="AE47" i="13"/>
  <c r="AF47" i="13"/>
  <c r="AG47" i="13"/>
  <c r="AG52" i="13" s="1"/>
  <c r="AG53" i="13" s="1"/>
  <c r="AE48" i="13"/>
  <c r="AF48" i="13"/>
  <c r="AG48" i="13"/>
  <c r="AE49" i="13"/>
  <c r="AF49" i="13"/>
  <c r="AG49" i="13"/>
  <c r="AE50" i="13"/>
  <c r="AF50" i="13"/>
  <c r="AG50" i="13"/>
  <c r="AD46" i="13"/>
  <c r="AD47" i="13"/>
  <c r="AD48" i="13"/>
  <c r="AD49" i="13"/>
  <c r="AD50" i="13"/>
  <c r="AD45" i="13"/>
  <c r="AD44" i="13"/>
  <c r="V44" i="13"/>
  <c r="W44" i="13"/>
  <c r="X44" i="13"/>
  <c r="V45" i="13"/>
  <c r="V55" i="13" s="1"/>
  <c r="W45" i="13"/>
  <c r="X45" i="13"/>
  <c r="V46" i="13"/>
  <c r="W46" i="13"/>
  <c r="W55" i="13" s="1"/>
  <c r="X46" i="13"/>
  <c r="V47" i="13"/>
  <c r="W47" i="13"/>
  <c r="X47" i="13"/>
  <c r="X54" i="13" s="1"/>
  <c r="X55" i="13" s="1"/>
  <c r="V48" i="13"/>
  <c r="W48" i="13"/>
  <c r="X48" i="13"/>
  <c r="V49" i="13"/>
  <c r="W49" i="13"/>
  <c r="X49" i="13"/>
  <c r="V50" i="13"/>
  <c r="W50" i="13"/>
  <c r="X50" i="13"/>
  <c r="V51" i="13"/>
  <c r="W51" i="13"/>
  <c r="X51" i="13"/>
  <c r="V52" i="13"/>
  <c r="W52" i="13"/>
  <c r="X52" i="13"/>
  <c r="U46" i="13"/>
  <c r="U47" i="13"/>
  <c r="U48" i="13"/>
  <c r="U49" i="13"/>
  <c r="U50" i="13"/>
  <c r="U51" i="13"/>
  <c r="U52" i="13"/>
  <c r="U54" i="13"/>
  <c r="U55" i="13" s="1"/>
  <c r="O25" i="13"/>
  <c r="O26" i="13"/>
  <c r="O46" i="13" s="1"/>
  <c r="O27" i="13"/>
  <c r="O28" i="13"/>
  <c r="O48" i="13" s="1"/>
  <c r="O29" i="13"/>
  <c r="O30" i="13"/>
  <c r="O50" i="13" s="1"/>
  <c r="O24" i="13"/>
  <c r="O6" i="13"/>
  <c r="O7" i="13"/>
  <c r="O8" i="13"/>
  <c r="O9" i="13"/>
  <c r="O10" i="13"/>
  <c r="O11" i="13"/>
  <c r="O45" i="13"/>
  <c r="O47" i="13"/>
  <c r="O49" i="13"/>
  <c r="O44" i="13"/>
  <c r="F54" i="13"/>
  <c r="F55" i="13" s="1"/>
  <c r="F56" i="13"/>
  <c r="F45" i="13"/>
  <c r="F46" i="13"/>
  <c r="F47" i="13"/>
  <c r="F48" i="13"/>
  <c r="F49" i="13"/>
  <c r="F50" i="13"/>
  <c r="F51" i="13"/>
  <c r="F52" i="13"/>
  <c r="F44" i="13"/>
  <c r="F25" i="13"/>
  <c r="F26" i="13"/>
  <c r="F27" i="13"/>
  <c r="F29" i="13"/>
  <c r="F30" i="13"/>
  <c r="F31" i="13"/>
  <c r="F32" i="13"/>
  <c r="F24" i="13"/>
  <c r="F6" i="13"/>
  <c r="F7" i="13"/>
  <c r="F8" i="13"/>
  <c r="F9" i="13"/>
  <c r="F10" i="13"/>
  <c r="F11" i="13"/>
  <c r="F12" i="13"/>
  <c r="F13" i="13"/>
  <c r="F5" i="13"/>
  <c r="AT100" i="1"/>
  <c r="C102" i="1"/>
  <c r="D37" i="15"/>
  <c r="J37" i="15"/>
  <c r="V24" i="15"/>
  <c r="V13" i="15"/>
  <c r="V4" i="15"/>
  <c r="P4" i="15"/>
  <c r="P14" i="15" s="1"/>
  <c r="P15" i="15" s="1"/>
  <c r="V14" i="15"/>
  <c r="V15" i="15" s="1"/>
  <c r="J34" i="15"/>
  <c r="J35" i="15" s="1"/>
  <c r="J33" i="15"/>
  <c r="V16" i="15"/>
  <c r="D34" i="15"/>
  <c r="D35" i="15" s="1"/>
  <c r="D33" i="15"/>
  <c r="D14" i="15"/>
  <c r="D13" i="15"/>
  <c r="C101" i="1"/>
  <c r="AD32" i="5"/>
  <c r="AD33" i="5" s="1"/>
  <c r="AD31" i="5"/>
  <c r="AC30" i="5"/>
  <c r="AE30" i="5" s="1"/>
  <c r="AC29" i="5"/>
  <c r="AE29" i="5" s="1"/>
  <c r="AC28" i="5"/>
  <c r="AE28" i="5" s="1"/>
  <c r="AC27" i="5"/>
  <c r="AE27" i="5" s="1"/>
  <c r="AC26" i="5"/>
  <c r="AE26" i="5" s="1"/>
  <c r="AC25" i="5"/>
  <c r="AE25" i="5" s="1"/>
  <c r="AC24" i="5"/>
  <c r="AC12" i="5"/>
  <c r="AE12" i="5" s="1"/>
  <c r="AC11" i="5"/>
  <c r="AE11" i="5" s="1"/>
  <c r="AC10" i="5"/>
  <c r="AE10" i="5" s="1"/>
  <c r="AD13" i="5"/>
  <c r="AC9" i="5"/>
  <c r="AE9" i="5" s="1"/>
  <c r="AC8" i="5"/>
  <c r="AE8" i="5" s="1"/>
  <c r="AC7" i="5"/>
  <c r="AE7" i="5" s="1"/>
  <c r="AD14" i="5"/>
  <c r="AD15" i="5" s="1"/>
  <c r="AC6" i="5"/>
  <c r="X34" i="5"/>
  <c r="X35" i="5" s="1"/>
  <c r="X33" i="5"/>
  <c r="W32" i="5"/>
  <c r="Y32" i="5" s="1"/>
  <c r="W31" i="5"/>
  <c r="Y31" i="5" s="1"/>
  <c r="W30" i="5"/>
  <c r="Y30" i="5" s="1"/>
  <c r="W29" i="5"/>
  <c r="Y29" i="5" s="1"/>
  <c r="W28" i="5"/>
  <c r="Y28" i="5" s="1"/>
  <c r="W27" i="5"/>
  <c r="Y27" i="5" s="1"/>
  <c r="W26" i="5"/>
  <c r="Y26" i="5" s="1"/>
  <c r="W25" i="5"/>
  <c r="Y25" i="5" s="1"/>
  <c r="W24" i="5"/>
  <c r="W14" i="5"/>
  <c r="Y14" i="5" s="1"/>
  <c r="W13" i="5"/>
  <c r="Y13" i="5" s="1"/>
  <c r="W12" i="5"/>
  <c r="Y12" i="5" s="1"/>
  <c r="W11" i="5"/>
  <c r="Y11" i="5" s="1"/>
  <c r="W10" i="5"/>
  <c r="Y10" i="5" s="1"/>
  <c r="W9" i="5"/>
  <c r="Y9" i="5" s="1"/>
  <c r="X15" i="5"/>
  <c r="W8" i="5"/>
  <c r="Y8" i="5" s="1"/>
  <c r="W7" i="5"/>
  <c r="Y7" i="5" s="1"/>
  <c r="X16" i="5"/>
  <c r="X17" i="5" s="1"/>
  <c r="W6" i="5"/>
  <c r="Y6" i="5" s="1"/>
  <c r="P34" i="15" l="1"/>
  <c r="P35" i="15" s="1"/>
  <c r="D38" i="15"/>
  <c r="D15" i="15"/>
  <c r="J15" i="15"/>
  <c r="J38" i="15"/>
  <c r="AC13" i="5"/>
  <c r="Y16" i="5"/>
  <c r="Y17" i="5" s="1"/>
  <c r="Y15" i="5"/>
  <c r="W33" i="5"/>
  <c r="AE6" i="5"/>
  <c r="AE13" i="5" s="1"/>
  <c r="W15" i="5"/>
  <c r="AC31" i="5"/>
  <c r="AG51" i="13"/>
  <c r="X53" i="13"/>
  <c r="X56" i="13" s="1"/>
  <c r="U53" i="13"/>
  <c r="V56" i="13"/>
  <c r="V34" i="15"/>
  <c r="V35" i="15" s="1"/>
  <c r="P13" i="15"/>
  <c r="AE24" i="5"/>
  <c r="AC32" i="5"/>
  <c r="AC33" i="5" s="1"/>
  <c r="AC14" i="5"/>
  <c r="AC15" i="5" s="1"/>
  <c r="Y24" i="5"/>
  <c r="W34" i="5"/>
  <c r="W35" i="5" s="1"/>
  <c r="W16" i="5"/>
  <c r="W17" i="5" s="1"/>
  <c r="AL31" i="4"/>
  <c r="AK31" i="4"/>
  <c r="AE14" i="5" l="1"/>
  <c r="AE15" i="5" s="1"/>
  <c r="AE31" i="5"/>
  <c r="AE32" i="5"/>
  <c r="AE33" i="5" s="1"/>
  <c r="Y33" i="5"/>
  <c r="Y34" i="5"/>
  <c r="Y35" i="5" s="1"/>
  <c r="AL29" i="4"/>
  <c r="AK29" i="4"/>
  <c r="AL28" i="4" l="1"/>
  <c r="AK28" i="4"/>
  <c r="AL27" i="4" l="1"/>
  <c r="AK27" i="4"/>
  <c r="AL10" i="4" l="1"/>
  <c r="AK10" i="4"/>
  <c r="AL8" i="4" l="1"/>
  <c r="AK8" i="4"/>
  <c r="AL7" i="4" l="1"/>
  <c r="AK7" i="4"/>
  <c r="AL6" i="4" l="1"/>
  <c r="AK6" i="4"/>
  <c r="P30" i="4" l="1"/>
  <c r="O30" i="4"/>
  <c r="P29" i="4" l="1"/>
  <c r="O29" i="4"/>
  <c r="P28" i="4" l="1"/>
  <c r="O28" i="4"/>
  <c r="P9" i="4" l="1"/>
  <c r="O9" i="4"/>
  <c r="P8" i="4" l="1"/>
  <c r="O8" i="4"/>
  <c r="P7" i="4" l="1"/>
  <c r="O7" i="4"/>
  <c r="O49" i="4" s="1"/>
  <c r="AF30" i="14" l="1"/>
  <c r="AH31" i="14" l="1"/>
  <c r="AH30" i="14"/>
  <c r="AH29" i="14"/>
  <c r="AH28" i="14"/>
  <c r="AH27" i="14"/>
  <c r="AH26" i="14"/>
  <c r="AH25" i="14"/>
  <c r="AH12" i="14"/>
  <c r="AH13" i="14"/>
  <c r="AH14" i="14"/>
  <c r="AH10" i="14"/>
  <c r="AH11" i="14"/>
  <c r="AH9" i="14"/>
  <c r="AH8" i="14"/>
  <c r="AH7" i="14"/>
  <c r="AH6" i="14"/>
  <c r="AH5" i="14"/>
  <c r="Y33" i="14"/>
  <c r="Y32" i="14"/>
  <c r="Y31" i="14"/>
  <c r="Y30" i="14"/>
  <c r="Y28" i="14"/>
  <c r="Y27" i="14"/>
  <c r="Y26" i="14"/>
  <c r="Y25" i="14"/>
  <c r="Y34" i="14" s="1"/>
  <c r="Z34" i="14"/>
  <c r="Z35" i="14"/>
  <c r="Z36" i="14" s="1"/>
  <c r="Y14" i="14"/>
  <c r="Y15" i="14"/>
  <c r="Y16" i="14"/>
  <c r="Y6" i="14"/>
  <c r="Y7" i="14"/>
  <c r="Y8" i="14"/>
  <c r="Y9" i="14"/>
  <c r="Y10" i="14"/>
  <c r="Y11" i="14"/>
  <c r="Y12" i="14"/>
  <c r="Y13" i="14"/>
  <c r="Y5" i="14"/>
  <c r="X26" i="14"/>
  <c r="V25" i="14"/>
  <c r="W25" i="14"/>
  <c r="X25" i="14"/>
  <c r="V26" i="14"/>
  <c r="V35" i="14" s="1"/>
  <c r="V36" i="14" s="1"/>
  <c r="W26" i="14"/>
  <c r="V27" i="14"/>
  <c r="W27" i="14"/>
  <c r="W35" i="14" s="1"/>
  <c r="X27" i="14"/>
  <c r="V28" i="14"/>
  <c r="W28" i="14"/>
  <c r="X28" i="14"/>
  <c r="V29" i="14"/>
  <c r="W29" i="14"/>
  <c r="Y29" i="14" s="1"/>
  <c r="X29" i="14"/>
  <c r="V30" i="14"/>
  <c r="W30" i="14"/>
  <c r="X30" i="14"/>
  <c r="V31" i="14"/>
  <c r="W31" i="14"/>
  <c r="X31" i="14"/>
  <c r="V32" i="14"/>
  <c r="W32" i="14"/>
  <c r="X32" i="14"/>
  <c r="V33" i="14"/>
  <c r="W33" i="14"/>
  <c r="X33" i="14"/>
  <c r="V5" i="14"/>
  <c r="W5" i="14"/>
  <c r="X5" i="14"/>
  <c r="V6" i="14"/>
  <c r="V15" i="14" s="1"/>
  <c r="W6" i="14"/>
  <c r="X6" i="14"/>
  <c r="V7" i="14"/>
  <c r="W7" i="14"/>
  <c r="X7" i="14"/>
  <c r="V8" i="14"/>
  <c r="W8" i="14"/>
  <c r="X8" i="14"/>
  <c r="V9" i="14"/>
  <c r="V10" i="14"/>
  <c r="W10" i="14"/>
  <c r="X10" i="14"/>
  <c r="V11" i="14"/>
  <c r="W11" i="14"/>
  <c r="X11" i="14"/>
  <c r="V12" i="14"/>
  <c r="W12" i="14"/>
  <c r="X12" i="14"/>
  <c r="V13" i="14"/>
  <c r="W13" i="14"/>
  <c r="X13" i="14"/>
  <c r="U33" i="14"/>
  <c r="U32" i="14"/>
  <c r="U31" i="14"/>
  <c r="U30" i="14"/>
  <c r="U29" i="14"/>
  <c r="U28" i="14"/>
  <c r="U27" i="14"/>
  <c r="U26" i="14"/>
  <c r="U25" i="14"/>
  <c r="U13" i="14"/>
  <c r="U12" i="14"/>
  <c r="U11" i="14"/>
  <c r="U10" i="14"/>
  <c r="U9" i="14"/>
  <c r="U8" i="14"/>
  <c r="U7" i="14"/>
  <c r="U6" i="14"/>
  <c r="U5" i="14"/>
  <c r="AE25" i="14"/>
  <c r="AG33" i="14"/>
  <c r="AG34" i="14" s="1"/>
  <c r="AE26" i="14"/>
  <c r="AF26" i="14"/>
  <c r="AG26" i="14"/>
  <c r="AE27" i="14"/>
  <c r="AF27" i="14"/>
  <c r="AF33" i="14" s="1"/>
  <c r="AF34" i="14" s="1"/>
  <c r="AG27" i="14"/>
  <c r="AE28" i="14"/>
  <c r="AF28" i="14"/>
  <c r="AG28" i="14"/>
  <c r="AE29" i="14"/>
  <c r="AF29" i="14"/>
  <c r="AG29" i="14"/>
  <c r="AE30" i="14"/>
  <c r="AG30" i="14"/>
  <c r="AE31" i="14"/>
  <c r="AF31" i="14"/>
  <c r="AG31" i="14"/>
  <c r="AD31" i="14"/>
  <c r="AD30" i="14"/>
  <c r="AD28" i="14"/>
  <c r="AD27" i="14"/>
  <c r="AD26" i="14"/>
  <c r="AD25" i="14"/>
  <c r="AD32" i="14"/>
  <c r="AE5" i="14"/>
  <c r="AF5" i="14"/>
  <c r="AG5" i="14"/>
  <c r="AG13" i="14" s="1"/>
  <c r="AG14" i="14" s="1"/>
  <c r="AE6" i="14"/>
  <c r="AF6" i="14"/>
  <c r="AG6" i="14"/>
  <c r="AE7" i="14"/>
  <c r="AF7" i="14"/>
  <c r="AF13" i="14" s="1"/>
  <c r="AF14" i="14" s="1"/>
  <c r="AG7" i="14"/>
  <c r="AE8" i="14"/>
  <c r="AF8" i="14"/>
  <c r="AG8" i="14"/>
  <c r="AE9" i="14"/>
  <c r="AF9" i="14"/>
  <c r="AG9" i="14"/>
  <c r="AE10" i="14"/>
  <c r="AG10" i="14"/>
  <c r="AE11" i="14"/>
  <c r="AF11" i="14"/>
  <c r="AG11" i="14"/>
  <c r="AD11" i="14"/>
  <c r="AD10" i="14"/>
  <c r="AD9" i="14"/>
  <c r="AD8" i="14"/>
  <c r="AD7" i="14"/>
  <c r="AD13" i="14" s="1"/>
  <c r="AD14" i="14" s="1"/>
  <c r="AD6" i="14"/>
  <c r="AD5" i="14"/>
  <c r="U35" i="14"/>
  <c r="U36" i="14" s="1"/>
  <c r="X15" i="14"/>
  <c r="U14" i="14"/>
  <c r="X35" i="14"/>
  <c r="X36" i="14" s="1"/>
  <c r="X34" i="14"/>
  <c r="AI33" i="14"/>
  <c r="AI34" i="14" s="1"/>
  <c r="AD33" i="14"/>
  <c r="AD34" i="14" s="1"/>
  <c r="AI32" i="14"/>
  <c r="Z15" i="14"/>
  <c r="Z16" i="14" s="1"/>
  <c r="W15" i="14"/>
  <c r="W16" i="14" s="1"/>
  <c r="Z14" i="14"/>
  <c r="AI13" i="14"/>
  <c r="AI14" i="14" s="1"/>
  <c r="AI12" i="14"/>
  <c r="H14" i="14"/>
  <c r="H15" i="14"/>
  <c r="H16" i="14"/>
  <c r="H34" i="14"/>
  <c r="H35" i="14"/>
  <c r="H36" i="14"/>
  <c r="P32" i="14"/>
  <c r="P33" i="14"/>
  <c r="P34" i="14" s="1"/>
  <c r="P12" i="14"/>
  <c r="P13" i="14"/>
  <c r="P14" i="14"/>
  <c r="W36" i="14" l="1"/>
  <c r="AH33" i="14"/>
  <c r="AH34" i="14" s="1"/>
  <c r="AH32" i="14"/>
  <c r="Y35" i="14"/>
  <c r="Y36" i="14" s="1"/>
  <c r="AE33" i="14"/>
  <c r="AE34" i="14" s="1"/>
  <c r="AE13" i="14"/>
  <c r="AE14" i="14" s="1"/>
  <c r="W34" i="14"/>
  <c r="AE32" i="14"/>
  <c r="AF32" i="14"/>
  <c r="AG32" i="14"/>
  <c r="AF12" i="14"/>
  <c r="AE12" i="14"/>
  <c r="AG12" i="14"/>
  <c r="AD12" i="14"/>
  <c r="U34" i="14"/>
  <c r="V34" i="14"/>
  <c r="X14" i="14"/>
  <c r="W14" i="14"/>
  <c r="X16" i="14"/>
  <c r="V14" i="14"/>
  <c r="V16" i="14"/>
  <c r="U15" i="14"/>
  <c r="U16" i="14" s="1"/>
  <c r="G35" i="14"/>
  <c r="G36" i="14" s="1"/>
  <c r="F35" i="14"/>
  <c r="F36" i="14" s="1"/>
  <c r="E35" i="14"/>
  <c r="E36" i="14" s="1"/>
  <c r="D35" i="14"/>
  <c r="D36" i="14" s="1"/>
  <c r="G34" i="14"/>
  <c r="F34" i="14"/>
  <c r="E34" i="14"/>
  <c r="D34" i="14"/>
  <c r="O33" i="14"/>
  <c r="O34" i="14" s="1"/>
  <c r="N33" i="14"/>
  <c r="N34" i="14" s="1"/>
  <c r="M33" i="14"/>
  <c r="M34" i="14" s="1"/>
  <c r="L33" i="14"/>
  <c r="L34" i="14" s="1"/>
  <c r="O32" i="14"/>
  <c r="N32" i="14"/>
  <c r="M32" i="14"/>
  <c r="L32" i="14"/>
  <c r="N13" i="14"/>
  <c r="N14" i="14" s="1"/>
  <c r="F15" i="14"/>
  <c r="F16" i="14" s="1"/>
  <c r="E15" i="14"/>
  <c r="E16" i="14" s="1"/>
  <c r="G15" i="14" l="1"/>
  <c r="G16" i="14" s="1"/>
  <c r="G14" i="14"/>
  <c r="O13" i="14"/>
  <c r="O14" i="14" s="1"/>
  <c r="O12" i="14"/>
  <c r="D15" i="14"/>
  <c r="D16" i="14" s="1"/>
  <c r="M12" i="14"/>
  <c r="M13" i="14"/>
  <c r="M14" i="14" s="1"/>
  <c r="E14" i="14"/>
  <c r="L12" i="14"/>
  <c r="L13" i="14"/>
  <c r="L14" i="14" s="1"/>
  <c r="N12" i="14"/>
  <c r="F14" i="14"/>
  <c r="D14" i="14"/>
  <c r="P11" i="7"/>
  <c r="AI50" i="7" s="1"/>
  <c r="P10" i="7"/>
  <c r="AI49" i="7" s="1"/>
  <c r="P9" i="7"/>
  <c r="AI48" i="7" s="1"/>
  <c r="P8" i="7"/>
  <c r="AI47" i="7" s="1"/>
  <c r="P7" i="7"/>
  <c r="AI46" i="7" s="1"/>
  <c r="P6" i="7"/>
  <c r="AI45" i="7" s="1"/>
  <c r="P5" i="7"/>
  <c r="AI44" i="7" l="1"/>
  <c r="P12" i="7"/>
  <c r="P13" i="7"/>
  <c r="D57" i="13"/>
  <c r="N44" i="13"/>
  <c r="P44" i="13"/>
  <c r="N45" i="13"/>
  <c r="P45" i="13"/>
  <c r="N46" i="13"/>
  <c r="P46" i="13"/>
  <c r="N47" i="13"/>
  <c r="P47" i="13"/>
  <c r="N48" i="13"/>
  <c r="P48" i="13"/>
  <c r="N49" i="13"/>
  <c r="P49" i="13"/>
  <c r="N50" i="13"/>
  <c r="P50" i="13"/>
  <c r="M46" i="13"/>
  <c r="M47" i="13"/>
  <c r="M48" i="13"/>
  <c r="M49" i="13"/>
  <c r="M54" i="13" s="1"/>
  <c r="M50" i="13"/>
  <c r="M45" i="13"/>
  <c r="M44" i="13"/>
  <c r="E44" i="13"/>
  <c r="G44" i="13"/>
  <c r="E45" i="13"/>
  <c r="G45" i="13"/>
  <c r="E46" i="13"/>
  <c r="G46" i="13"/>
  <c r="E47" i="13"/>
  <c r="G47" i="13"/>
  <c r="E48" i="13"/>
  <c r="G48" i="13"/>
  <c r="E49" i="13"/>
  <c r="G49" i="13"/>
  <c r="E50" i="13"/>
  <c r="G50" i="13"/>
  <c r="E51" i="13"/>
  <c r="G51" i="13"/>
  <c r="E52" i="13"/>
  <c r="G52" i="13"/>
  <c r="D46" i="13"/>
  <c r="D47" i="13"/>
  <c r="D48" i="13"/>
  <c r="D49" i="13"/>
  <c r="D50" i="13"/>
  <c r="D51" i="13"/>
  <c r="D52" i="13"/>
  <c r="D45" i="13"/>
  <c r="D44" i="13"/>
  <c r="Q12" i="13"/>
  <c r="Q13" i="13"/>
  <c r="Q14" i="13" s="1"/>
  <c r="Q31" i="13"/>
  <c r="Q32" i="13"/>
  <c r="Q33" i="13" s="1"/>
  <c r="AD54" i="13"/>
  <c r="U56" i="13"/>
  <c r="H14" i="13"/>
  <c r="H15" i="13"/>
  <c r="H16" i="13" s="1"/>
  <c r="P14" i="7" l="1"/>
  <c r="AI54" i="7"/>
  <c r="AI51" i="7"/>
  <c r="AI52" i="7"/>
  <c r="AI53" i="7" s="1"/>
  <c r="G53" i="13"/>
  <c r="N51" i="13"/>
  <c r="N54" i="13" s="1"/>
  <c r="E53" i="13"/>
  <c r="E56" i="13" s="1"/>
  <c r="P51" i="13"/>
  <c r="P54" i="13" s="1"/>
  <c r="G56" i="13"/>
  <c r="G54" i="13"/>
  <c r="G55" i="13" s="1"/>
  <c r="E54" i="13"/>
  <c r="E55" i="13" s="1"/>
  <c r="E57" i="13"/>
  <c r="E58" i="13" s="1"/>
  <c r="N52" i="13"/>
  <c r="N53" i="13" s="1"/>
  <c r="P52" i="13"/>
  <c r="P53" i="13" s="1"/>
  <c r="M52" i="13"/>
  <c r="M53" i="13" s="1"/>
  <c r="D54" i="13"/>
  <c r="D55" i="13" s="1"/>
  <c r="R77" i="5"/>
  <c r="R78" i="5" s="1"/>
  <c r="R76" i="5"/>
  <c r="H79" i="5"/>
  <c r="H80" i="5" s="1"/>
  <c r="H78" i="5"/>
  <c r="O5" i="4"/>
  <c r="AJ34" i="4"/>
  <c r="AJ35" i="4" s="1"/>
  <c r="AJ33" i="4"/>
  <c r="AJ13" i="4"/>
  <c r="AJ14" i="4" s="1"/>
  <c r="AJ12" i="4"/>
  <c r="D56" i="13" l="1"/>
  <c r="D58" i="13"/>
  <c r="AJ75" i="4"/>
  <c r="AJ76" i="4" s="1"/>
  <c r="AJ74" i="4"/>
  <c r="Z73" i="4"/>
  <c r="Z72" i="4"/>
  <c r="Z71" i="4"/>
  <c r="Z70" i="4"/>
  <c r="Z69" i="4"/>
  <c r="Z68" i="4"/>
  <c r="N79" i="4"/>
  <c r="N80" i="4" s="1"/>
  <c r="N78" i="4"/>
  <c r="D77" i="4"/>
  <c r="D76" i="4"/>
  <c r="D75" i="4"/>
  <c r="D74" i="4"/>
  <c r="D73" i="4"/>
  <c r="D72" i="4"/>
  <c r="D71" i="4"/>
  <c r="D70" i="4"/>
  <c r="D69" i="4"/>
  <c r="Z74" i="4" l="1"/>
  <c r="D78" i="4"/>
  <c r="Z75" i="4"/>
  <c r="Z76" i="4" s="1"/>
  <c r="D79" i="4"/>
  <c r="D80" i="4" s="1"/>
  <c r="N34" i="12"/>
  <c r="N35" i="12" s="1"/>
  <c r="N33" i="12"/>
  <c r="P32" i="12"/>
  <c r="O32" i="12"/>
  <c r="H32" i="12"/>
  <c r="G32" i="12"/>
  <c r="F32" i="12"/>
  <c r="E32" i="12"/>
  <c r="D32" i="12"/>
  <c r="AK31" i="12"/>
  <c r="AJ31" i="12"/>
  <c r="P31" i="12"/>
  <c r="O31" i="12"/>
  <c r="H31" i="12"/>
  <c r="G31" i="12"/>
  <c r="F31" i="12"/>
  <c r="E31" i="12"/>
  <c r="D31" i="12"/>
  <c r="AK30" i="12"/>
  <c r="AJ30" i="12"/>
  <c r="AC30" i="12"/>
  <c r="AB30" i="12"/>
  <c r="AA30" i="12"/>
  <c r="Z30" i="12"/>
  <c r="Y30" i="12"/>
  <c r="P30" i="12"/>
  <c r="O30" i="12"/>
  <c r="H30" i="12"/>
  <c r="G30" i="12"/>
  <c r="F30" i="12"/>
  <c r="E30" i="12"/>
  <c r="D30" i="12"/>
  <c r="AK29" i="12"/>
  <c r="AJ29" i="12"/>
  <c r="AC29" i="12"/>
  <c r="AB29" i="12"/>
  <c r="AA29" i="12"/>
  <c r="Z29" i="12"/>
  <c r="Y29" i="12"/>
  <c r="P29" i="12"/>
  <c r="O29" i="12"/>
  <c r="H29" i="12"/>
  <c r="G29" i="12"/>
  <c r="F29" i="12"/>
  <c r="E29" i="12"/>
  <c r="D29" i="12"/>
  <c r="AK28" i="12"/>
  <c r="AJ28" i="12"/>
  <c r="AC28" i="12"/>
  <c r="AB28" i="12"/>
  <c r="AA28" i="12"/>
  <c r="Z28" i="12"/>
  <c r="Y28" i="12"/>
  <c r="P28" i="12"/>
  <c r="O28" i="12"/>
  <c r="H28" i="12"/>
  <c r="G28" i="12"/>
  <c r="F28" i="12"/>
  <c r="E28" i="12"/>
  <c r="D28" i="12"/>
  <c r="AK27" i="12"/>
  <c r="AJ27" i="12"/>
  <c r="AC27" i="12"/>
  <c r="AB27" i="12"/>
  <c r="AA27" i="12"/>
  <c r="Z27" i="12"/>
  <c r="Y27" i="12"/>
  <c r="P27" i="12"/>
  <c r="O27" i="12"/>
  <c r="H27" i="12"/>
  <c r="G27" i="12"/>
  <c r="F27" i="12"/>
  <c r="E27" i="12"/>
  <c r="D27" i="12"/>
  <c r="AK26" i="12"/>
  <c r="AJ26" i="12"/>
  <c r="AC26" i="12"/>
  <c r="AB26" i="12"/>
  <c r="AA26" i="12"/>
  <c r="Z26" i="12"/>
  <c r="Y26" i="12"/>
  <c r="P26" i="12"/>
  <c r="O26" i="12"/>
  <c r="H26" i="12"/>
  <c r="G26" i="12"/>
  <c r="F26" i="12"/>
  <c r="E26" i="12"/>
  <c r="D26" i="12"/>
  <c r="AK25" i="12"/>
  <c r="AJ25" i="12"/>
  <c r="AC25" i="12"/>
  <c r="AB25" i="12"/>
  <c r="AA25" i="12"/>
  <c r="Z25" i="12"/>
  <c r="Y25" i="12"/>
  <c r="P25" i="12"/>
  <c r="O25" i="12"/>
  <c r="H25" i="12"/>
  <c r="G25" i="12"/>
  <c r="F25" i="12"/>
  <c r="E25" i="12"/>
  <c r="D25" i="12"/>
  <c r="AC24" i="12"/>
  <c r="AB24" i="12"/>
  <c r="AA24" i="12"/>
  <c r="Z24" i="12"/>
  <c r="P24" i="12"/>
  <c r="O24" i="12"/>
  <c r="H24" i="12"/>
  <c r="G24" i="12"/>
  <c r="F24" i="12"/>
  <c r="E24" i="12"/>
  <c r="D24" i="12"/>
  <c r="N15" i="12"/>
  <c r="N16" i="12" s="1"/>
  <c r="N14" i="12"/>
  <c r="P13" i="12"/>
  <c r="O13" i="12"/>
  <c r="D13" i="12"/>
  <c r="AK12" i="12"/>
  <c r="AJ12" i="12"/>
  <c r="P12" i="12"/>
  <c r="O12" i="12"/>
  <c r="H12" i="12"/>
  <c r="G12" i="12"/>
  <c r="F12" i="12"/>
  <c r="E12" i="12"/>
  <c r="D12" i="12"/>
  <c r="AK11" i="12"/>
  <c r="AJ11" i="12"/>
  <c r="AC11" i="12"/>
  <c r="AB11" i="12"/>
  <c r="AA11" i="12"/>
  <c r="Z11" i="12"/>
  <c r="Y11" i="12"/>
  <c r="P11" i="12"/>
  <c r="O11" i="12"/>
  <c r="H11" i="12"/>
  <c r="G11" i="12"/>
  <c r="F11" i="12"/>
  <c r="E11" i="12"/>
  <c r="D11" i="12"/>
  <c r="AK10" i="12"/>
  <c r="AJ10" i="12"/>
  <c r="AC10" i="12"/>
  <c r="AB10" i="12"/>
  <c r="AA10" i="12"/>
  <c r="Z10" i="12"/>
  <c r="Y10" i="12"/>
  <c r="P10" i="12"/>
  <c r="O10" i="12"/>
  <c r="H10" i="12"/>
  <c r="G10" i="12"/>
  <c r="F10" i="12"/>
  <c r="E10" i="12"/>
  <c r="D10" i="12"/>
  <c r="AK9" i="12"/>
  <c r="AJ9" i="12"/>
  <c r="AC9" i="12"/>
  <c r="AB9" i="12"/>
  <c r="AA9" i="12"/>
  <c r="Z9" i="12"/>
  <c r="Y9" i="12"/>
  <c r="P9" i="12"/>
  <c r="O9" i="12"/>
  <c r="H9" i="12"/>
  <c r="G9" i="12"/>
  <c r="F9" i="12"/>
  <c r="E9" i="12"/>
  <c r="D9" i="12"/>
  <c r="AK8" i="12"/>
  <c r="AJ8" i="12"/>
  <c r="AB8" i="12"/>
  <c r="AA8" i="12"/>
  <c r="Z8" i="12"/>
  <c r="Y8" i="12"/>
  <c r="P8" i="12"/>
  <c r="O8" i="12"/>
  <c r="H8" i="12"/>
  <c r="G8" i="12"/>
  <c r="F8" i="12"/>
  <c r="E8" i="12"/>
  <c r="D8" i="12"/>
  <c r="AK7" i="12"/>
  <c r="AJ7" i="12"/>
  <c r="AC7" i="12"/>
  <c r="AB7" i="12"/>
  <c r="AA7" i="12"/>
  <c r="Z7" i="12"/>
  <c r="Y7" i="12"/>
  <c r="P7" i="12"/>
  <c r="O7" i="12"/>
  <c r="H7" i="12"/>
  <c r="G7" i="12"/>
  <c r="F7" i="12"/>
  <c r="E7" i="12"/>
  <c r="D7" i="12"/>
  <c r="AK6" i="12"/>
  <c r="AJ6" i="12"/>
  <c r="AC6" i="12"/>
  <c r="AB6" i="12"/>
  <c r="AA6" i="12"/>
  <c r="Z6" i="12"/>
  <c r="Y6" i="12"/>
  <c r="P6" i="12"/>
  <c r="O6" i="12"/>
  <c r="H6" i="12"/>
  <c r="G6" i="12"/>
  <c r="F6" i="12"/>
  <c r="E6" i="12"/>
  <c r="D6" i="12"/>
  <c r="AC5" i="12"/>
  <c r="AB5" i="12"/>
  <c r="AA5" i="12"/>
  <c r="Z5" i="12"/>
  <c r="Y5" i="12"/>
  <c r="P5" i="12"/>
  <c r="O5" i="12"/>
  <c r="H5" i="12"/>
  <c r="G5" i="12"/>
  <c r="F5" i="12"/>
  <c r="E5" i="12"/>
  <c r="D5" i="12"/>
  <c r="D55" i="4"/>
  <c r="D54" i="4"/>
  <c r="D53" i="4"/>
  <c r="D52" i="4"/>
  <c r="D51" i="4"/>
  <c r="D50" i="4"/>
  <c r="D49" i="4"/>
  <c r="D48" i="4"/>
  <c r="D47" i="4"/>
  <c r="E14" i="12" l="1"/>
  <c r="E15" i="12"/>
  <c r="E16" i="12" s="1"/>
  <c r="G14" i="12"/>
  <c r="G15" i="12"/>
  <c r="G16" i="12" s="1"/>
  <c r="H14" i="12"/>
  <c r="H15" i="12"/>
  <c r="H16" i="12" s="1"/>
  <c r="F14" i="12"/>
  <c r="F15" i="12"/>
  <c r="F16" i="12" s="1"/>
  <c r="AK43" i="12"/>
  <c r="AK45" i="12"/>
  <c r="AJ46" i="12"/>
  <c r="AJ42" i="12"/>
  <c r="AJ44" i="12"/>
  <c r="AK46" i="12"/>
  <c r="AK40" i="12"/>
  <c r="AK42" i="12"/>
  <c r="AK44" i="12"/>
  <c r="Z44" i="12"/>
  <c r="AJ43" i="12"/>
  <c r="AB45" i="12"/>
  <c r="Z46" i="12"/>
  <c r="AJ45" i="12"/>
  <c r="AK41" i="12"/>
  <c r="AA44" i="12"/>
  <c r="AC45" i="12"/>
  <c r="AA46" i="12"/>
  <c r="AB40" i="12"/>
  <c r="AJ41" i="12"/>
  <c r="AC40" i="12"/>
  <c r="AC41" i="12"/>
  <c r="G41" i="12"/>
  <c r="Z40" i="12"/>
  <c r="Z41" i="12"/>
  <c r="AJ40" i="12"/>
  <c r="AB42" i="12"/>
  <c r="Z43" i="12"/>
  <c r="F45" i="12"/>
  <c r="P45" i="12"/>
  <c r="AB44" i="12"/>
  <c r="H46" i="12"/>
  <c r="Z45" i="12"/>
  <c r="F47" i="12"/>
  <c r="P47" i="12"/>
  <c r="AB46" i="12"/>
  <c r="H48" i="12"/>
  <c r="AB41" i="12"/>
  <c r="Z42" i="12"/>
  <c r="AB43" i="12"/>
  <c r="AA42" i="12"/>
  <c r="AA40" i="12"/>
  <c r="AA41" i="12"/>
  <c r="AC42" i="12"/>
  <c r="AA43" i="12"/>
  <c r="AC44" i="12"/>
  <c r="AA45" i="12"/>
  <c r="AC46" i="12"/>
  <c r="O15" i="12"/>
  <c r="O16" i="12" s="1"/>
  <c r="O14" i="12"/>
  <c r="P14" i="12"/>
  <c r="P15" i="12"/>
  <c r="P16" i="12" s="1"/>
  <c r="O41" i="12"/>
  <c r="O34" i="12"/>
  <c r="O35" i="12" s="1"/>
  <c r="O33" i="12"/>
  <c r="H45" i="12"/>
  <c r="F46" i="12"/>
  <c r="P46" i="12"/>
  <c r="H47" i="12"/>
  <c r="F48" i="12"/>
  <c r="P48" i="12"/>
  <c r="O49" i="12"/>
  <c r="P33" i="12"/>
  <c r="P34" i="12"/>
  <c r="P35" i="12" s="1"/>
  <c r="F42" i="12"/>
  <c r="P42" i="12"/>
  <c r="H43" i="12"/>
  <c r="F44" i="12"/>
  <c r="P44" i="12"/>
  <c r="F41" i="12"/>
  <c r="P41" i="12"/>
  <c r="G42" i="12"/>
  <c r="O43" i="12"/>
  <c r="G44" i="12"/>
  <c r="O45" i="12"/>
  <c r="G46" i="12"/>
  <c r="O47" i="12"/>
  <c r="G48" i="12"/>
  <c r="P49" i="12"/>
  <c r="H42" i="12"/>
  <c r="F43" i="12"/>
  <c r="P43" i="12"/>
  <c r="H44" i="12"/>
  <c r="H41" i="12"/>
  <c r="O42" i="12"/>
  <c r="G43" i="12"/>
  <c r="O44" i="12"/>
  <c r="G45" i="12"/>
  <c r="O46" i="12"/>
  <c r="G47" i="12"/>
  <c r="O48" i="12"/>
  <c r="AL7" i="12"/>
  <c r="Q9" i="12"/>
  <c r="Q11" i="12"/>
  <c r="E43" i="12"/>
  <c r="E45" i="12"/>
  <c r="E47" i="12"/>
  <c r="E42" i="12"/>
  <c r="E44" i="12"/>
  <c r="E46" i="12"/>
  <c r="E48" i="12"/>
  <c r="E41" i="12"/>
  <c r="AL25" i="12"/>
  <c r="AL27" i="12"/>
  <c r="Q32" i="12"/>
  <c r="AL8" i="12"/>
  <c r="G34" i="12"/>
  <c r="G35" i="12" s="1"/>
  <c r="Z32" i="12"/>
  <c r="Z33" i="12" s="1"/>
  <c r="J25" i="12"/>
  <c r="AD9" i="12"/>
  <c r="J10" i="12"/>
  <c r="J12" i="12"/>
  <c r="Q28" i="12"/>
  <c r="Q45" i="12" s="1"/>
  <c r="AL30" i="12"/>
  <c r="AL31" i="12"/>
  <c r="J29" i="12"/>
  <c r="Q25" i="12"/>
  <c r="AE25" i="12"/>
  <c r="Q29" i="12"/>
  <c r="Q5" i="12"/>
  <c r="J7" i="12"/>
  <c r="I9" i="12"/>
  <c r="AE29" i="12"/>
  <c r="AL29" i="12"/>
  <c r="J31" i="12"/>
  <c r="AA12" i="12"/>
  <c r="AD7" i="12"/>
  <c r="I11" i="12"/>
  <c r="Q26" i="12"/>
  <c r="AE26" i="12"/>
  <c r="AL26" i="12"/>
  <c r="J28" i="12"/>
  <c r="AL28" i="12"/>
  <c r="Q31" i="12"/>
  <c r="AA13" i="12"/>
  <c r="AB12" i="12"/>
  <c r="Q6" i="12"/>
  <c r="AD10" i="12"/>
  <c r="AL11" i="12"/>
  <c r="Q13" i="12"/>
  <c r="AA32" i="12"/>
  <c r="AA33" i="12" s="1"/>
  <c r="AD28" i="12"/>
  <c r="AD44" i="12" s="1"/>
  <c r="AE5" i="12"/>
  <c r="AC13" i="12"/>
  <c r="AD6" i="12"/>
  <c r="AE7" i="12"/>
  <c r="AD8" i="12"/>
  <c r="J9" i="12"/>
  <c r="I10" i="12"/>
  <c r="J11" i="12"/>
  <c r="I12" i="12"/>
  <c r="AL12" i="12"/>
  <c r="E33" i="12"/>
  <c r="AB32" i="12"/>
  <c r="AB33" i="12" s="1"/>
  <c r="J27" i="12"/>
  <c r="AD27" i="12"/>
  <c r="I28" i="12"/>
  <c r="AE28" i="12"/>
  <c r="Z31" i="12"/>
  <c r="Q8" i="12"/>
  <c r="AL9" i="12"/>
  <c r="I24" i="12"/>
  <c r="H33" i="12"/>
  <c r="Z13" i="12"/>
  <c r="D14" i="12"/>
  <c r="AL6" i="12"/>
  <c r="Q7" i="12"/>
  <c r="I8" i="12"/>
  <c r="AE9" i="12"/>
  <c r="AC12" i="12"/>
  <c r="Q10" i="12"/>
  <c r="AL10" i="12"/>
  <c r="AD11" i="12"/>
  <c r="Q12" i="12"/>
  <c r="F33" i="12"/>
  <c r="Q24" i="12"/>
  <c r="AC32" i="12"/>
  <c r="AC33" i="12" s="1"/>
  <c r="G33" i="12"/>
  <c r="J26" i="12"/>
  <c r="AD26" i="12"/>
  <c r="Q27" i="12"/>
  <c r="AE27" i="12"/>
  <c r="J30" i="12"/>
  <c r="AD30" i="12"/>
  <c r="AD29" i="12"/>
  <c r="Q30" i="12"/>
  <c r="Q47" i="12" s="1"/>
  <c r="AE30" i="12"/>
  <c r="J32" i="12"/>
  <c r="I5" i="12"/>
  <c r="AE6" i="12"/>
  <c r="Y12" i="12"/>
  <c r="D15" i="12"/>
  <c r="D16" i="12" s="1"/>
  <c r="AD25" i="12"/>
  <c r="AD41" i="12" s="1"/>
  <c r="I6" i="12"/>
  <c r="I7" i="12"/>
  <c r="Z12" i="12"/>
  <c r="D34" i="12"/>
  <c r="D35" i="12" s="1"/>
  <c r="H34" i="12"/>
  <c r="H35" i="12" s="1"/>
  <c r="AD5" i="12"/>
  <c r="J6" i="12"/>
  <c r="J8" i="12"/>
  <c r="AE10" i="12"/>
  <c r="AE11" i="12"/>
  <c r="Y13" i="12"/>
  <c r="Y14" i="12" s="1"/>
  <c r="J24" i="12"/>
  <c r="Y24" i="12"/>
  <c r="I25" i="12"/>
  <c r="I26" i="12"/>
  <c r="I27" i="12"/>
  <c r="I29" i="12"/>
  <c r="I30" i="12"/>
  <c r="I31" i="12"/>
  <c r="AB31" i="12"/>
  <c r="I32" i="12"/>
  <c r="D33" i="12"/>
  <c r="E34" i="12"/>
  <c r="E35" i="12" s="1"/>
  <c r="J5" i="12"/>
  <c r="AB13" i="12"/>
  <c r="AA31" i="12"/>
  <c r="AC31" i="12"/>
  <c r="F34" i="12"/>
  <c r="F35" i="12" s="1"/>
  <c r="D34" i="4"/>
  <c r="D13" i="4"/>
  <c r="I45" i="12" l="1"/>
  <c r="AD46" i="12"/>
  <c r="AD42" i="12"/>
  <c r="J46" i="12"/>
  <c r="AL42" i="12"/>
  <c r="AL41" i="12"/>
  <c r="J14" i="12"/>
  <c r="J15" i="12"/>
  <c r="J16" i="12" s="1"/>
  <c r="I15" i="12"/>
  <c r="I16" i="12" s="1"/>
  <c r="I14" i="12"/>
  <c r="AA48" i="12"/>
  <c r="AA49" i="12" s="1"/>
  <c r="Z14" i="12"/>
  <c r="Z50" i="12"/>
  <c r="AL43" i="12"/>
  <c r="AL46" i="12"/>
  <c r="AL40" i="12"/>
  <c r="AK48" i="12"/>
  <c r="AK49" i="12" s="1"/>
  <c r="AK47" i="12"/>
  <c r="AB14" i="12"/>
  <c r="AB50" i="12"/>
  <c r="AC14" i="12"/>
  <c r="AC50" i="12"/>
  <c r="AL45" i="12"/>
  <c r="AA14" i="12"/>
  <c r="AA50" i="12"/>
  <c r="AL44" i="12"/>
  <c r="AE44" i="12"/>
  <c r="AE42" i="12"/>
  <c r="AE45" i="12"/>
  <c r="AJ47" i="12"/>
  <c r="AJ48" i="12"/>
  <c r="AJ49" i="12" s="1"/>
  <c r="AE46" i="12"/>
  <c r="AC48" i="12"/>
  <c r="AC49" i="12" s="1"/>
  <c r="AC47" i="12"/>
  <c r="AD43" i="12"/>
  <c r="AE41" i="12"/>
  <c r="AA47" i="12"/>
  <c r="Z48" i="12"/>
  <c r="Z49" i="12" s="1"/>
  <c r="Z47" i="12"/>
  <c r="AD45" i="12"/>
  <c r="AB47" i="12"/>
  <c r="AB48" i="12"/>
  <c r="AB49" i="12" s="1"/>
  <c r="I46" i="12"/>
  <c r="Q44" i="12"/>
  <c r="I41" i="12"/>
  <c r="Q42" i="12"/>
  <c r="J42" i="12"/>
  <c r="Q34" i="12"/>
  <c r="Q35" i="12" s="1"/>
  <c r="Q33" i="12"/>
  <c r="G51" i="12"/>
  <c r="G52" i="12" s="1"/>
  <c r="I42" i="12"/>
  <c r="J47" i="12"/>
  <c r="J45" i="12"/>
  <c r="J48" i="12"/>
  <c r="G50" i="12"/>
  <c r="I44" i="12"/>
  <c r="J44" i="12"/>
  <c r="Q15" i="12"/>
  <c r="Q16" i="12" s="1"/>
  <c r="Q14" i="12"/>
  <c r="J41" i="12"/>
  <c r="P50" i="12"/>
  <c r="P51" i="12"/>
  <c r="P52" i="12" s="1"/>
  <c r="I48" i="12"/>
  <c r="I43" i="12"/>
  <c r="Q41" i="12"/>
  <c r="Q48" i="12"/>
  <c r="H50" i="12"/>
  <c r="H51" i="12"/>
  <c r="H52" i="12" s="1"/>
  <c r="F51" i="12"/>
  <c r="F52" i="12" s="1"/>
  <c r="F50" i="12"/>
  <c r="Q49" i="12"/>
  <c r="O51" i="12"/>
  <c r="O52" i="12" s="1"/>
  <c r="I47" i="12"/>
  <c r="J43" i="12"/>
  <c r="Q43" i="12"/>
  <c r="Q46" i="12"/>
  <c r="O50" i="12"/>
  <c r="E50" i="12"/>
  <c r="E51" i="12"/>
  <c r="E52" i="12" s="1"/>
  <c r="AE13" i="12"/>
  <c r="I34" i="12"/>
  <c r="I35" i="12" s="1"/>
  <c r="I33" i="12"/>
  <c r="AE12" i="12"/>
  <c r="J33" i="12"/>
  <c r="J34" i="12"/>
  <c r="J35" i="12" s="1"/>
  <c r="Y32" i="12"/>
  <c r="Y33" i="12" s="1"/>
  <c r="Y31" i="12"/>
  <c r="AD24" i="12"/>
  <c r="AD40" i="12" s="1"/>
  <c r="AE24" i="12"/>
  <c r="AE40" i="12" s="1"/>
  <c r="AD13" i="12"/>
  <c r="AD12" i="12"/>
  <c r="D33" i="4"/>
  <c r="AE14" i="12" l="1"/>
  <c r="AE50" i="12"/>
  <c r="AD14" i="12"/>
  <c r="AD50" i="12"/>
  <c r="AL48" i="12"/>
  <c r="AL49" i="12" s="1"/>
  <c r="AL47" i="12"/>
  <c r="AD48" i="12"/>
  <c r="AD49" i="12" s="1"/>
  <c r="AD47" i="12"/>
  <c r="AE48" i="12"/>
  <c r="AE49" i="12" s="1"/>
  <c r="AE47" i="12"/>
  <c r="I50" i="12"/>
  <c r="Q50" i="12"/>
  <c r="Q51" i="12"/>
  <c r="Q52" i="12" s="1"/>
  <c r="I51" i="12"/>
  <c r="I52" i="12" s="1"/>
  <c r="J51" i="12"/>
  <c r="J52" i="12" s="1"/>
  <c r="J50" i="12"/>
  <c r="AD32" i="12"/>
  <c r="AD33" i="12" s="1"/>
  <c r="AD31" i="12"/>
  <c r="AE32" i="12"/>
  <c r="AE33" i="12" s="1"/>
  <c r="AE31" i="12"/>
  <c r="D32" i="4"/>
  <c r="Z54" i="4" l="1"/>
  <c r="Z53" i="4"/>
  <c r="Z52" i="4"/>
  <c r="Z51" i="4"/>
  <c r="Z50" i="4"/>
  <c r="Z49" i="4"/>
  <c r="Z32" i="4"/>
  <c r="Z31" i="4" l="1"/>
  <c r="Z30" i="4" l="1"/>
  <c r="D31" i="4" l="1"/>
  <c r="Z28" i="4"/>
  <c r="Z29" i="4"/>
  <c r="Z8" i="4"/>
  <c r="D30" i="4" l="1"/>
  <c r="D12" i="4" l="1"/>
  <c r="D11" i="4" l="1"/>
  <c r="Z11" i="4" l="1"/>
  <c r="Z10" i="4" l="1"/>
  <c r="Z9" i="4" l="1"/>
  <c r="D10" i="4" l="1"/>
  <c r="D9" i="4" l="1"/>
  <c r="Z7" i="4"/>
  <c r="AB8" i="4"/>
  <c r="AD8" i="4"/>
  <c r="AF8" i="4" l="1"/>
  <c r="D29" i="4"/>
  <c r="Z27" i="4" l="1"/>
  <c r="D28" i="4" l="1"/>
  <c r="D27" i="4"/>
  <c r="D8" i="4" l="1"/>
  <c r="Z6" i="4" l="1"/>
  <c r="D7" i="4" l="1"/>
  <c r="D6" i="4" l="1"/>
  <c r="Z5" i="4" l="1"/>
  <c r="Z26" i="4" l="1"/>
  <c r="Z34" i="4" s="1"/>
  <c r="Z12" i="4"/>
  <c r="D26" i="4"/>
  <c r="D5" i="4"/>
  <c r="D14" i="4" l="1"/>
  <c r="D35" i="4"/>
  <c r="D36" i="4"/>
  <c r="AT80" i="1"/>
  <c r="AT101" i="1"/>
  <c r="AJ56" i="4"/>
  <c r="AJ57" i="4" s="1"/>
  <c r="AJ55" i="4"/>
  <c r="AT69" i="1"/>
  <c r="AT79" i="1"/>
  <c r="AU18" i="1" l="1"/>
  <c r="AT87" i="1"/>
  <c r="AM78" i="1"/>
  <c r="AM79" i="1"/>
  <c r="AU101" i="1"/>
  <c r="AT76" i="1"/>
  <c r="L47" i="9" l="1"/>
  <c r="J47" i="9"/>
  <c r="H47" i="9"/>
  <c r="F47" i="9"/>
  <c r="K47" i="9"/>
  <c r="I47" i="9"/>
  <c r="G47" i="9"/>
  <c r="E47" i="9"/>
  <c r="C47" i="9"/>
  <c r="I61" i="9" l="1"/>
  <c r="G61" i="9"/>
  <c r="K61" i="9"/>
  <c r="L46" i="9"/>
  <c r="J46" i="9"/>
  <c r="H46" i="9"/>
  <c r="F46" i="9"/>
  <c r="K46" i="9"/>
  <c r="I46" i="9"/>
  <c r="G46" i="9"/>
  <c r="E46" i="9"/>
  <c r="C46" i="9"/>
  <c r="I60" i="9" l="1"/>
  <c r="K60" i="9"/>
  <c r="G60" i="9"/>
  <c r="L45" i="9"/>
  <c r="J45" i="9"/>
  <c r="H45" i="9"/>
  <c r="F45" i="9"/>
  <c r="K45" i="9"/>
  <c r="I45" i="9"/>
  <c r="G45" i="9"/>
  <c r="E45" i="9"/>
  <c r="C45" i="9"/>
  <c r="G59" i="9" l="1"/>
  <c r="I59" i="9"/>
  <c r="K59" i="9"/>
  <c r="AA45" i="9"/>
  <c r="Y45" i="9"/>
  <c r="W45" i="9"/>
  <c r="U45" i="9"/>
  <c r="Z45" i="9"/>
  <c r="X45" i="9"/>
  <c r="V45" i="9"/>
  <c r="V81" i="9" s="1"/>
  <c r="T45" i="9"/>
  <c r="R45" i="9"/>
  <c r="Z59" i="9" l="1"/>
  <c r="V59" i="9"/>
  <c r="X59" i="9"/>
  <c r="AA44" i="9"/>
  <c r="Y44" i="9"/>
  <c r="W44" i="9"/>
  <c r="U44" i="9"/>
  <c r="Z44" i="9"/>
  <c r="X44" i="9"/>
  <c r="V44" i="9"/>
  <c r="T44" i="9"/>
  <c r="R44" i="9"/>
  <c r="Z58" i="9" l="1"/>
  <c r="V58" i="9"/>
  <c r="X58" i="9"/>
  <c r="AA43" i="9"/>
  <c r="Y43" i="9"/>
  <c r="W43" i="9"/>
  <c r="U43" i="9"/>
  <c r="Z43" i="9"/>
  <c r="X43" i="9"/>
  <c r="V43" i="9"/>
  <c r="T43" i="9"/>
  <c r="R43" i="9"/>
  <c r="V57" i="9" l="1"/>
  <c r="X57" i="9"/>
  <c r="Z57" i="9"/>
  <c r="L13" i="9"/>
  <c r="J13" i="9"/>
  <c r="H13" i="9"/>
  <c r="F13" i="9"/>
  <c r="K13" i="9"/>
  <c r="I13" i="9"/>
  <c r="G13" i="9"/>
  <c r="E13" i="9"/>
  <c r="C13" i="9"/>
  <c r="G104" i="9" l="1"/>
  <c r="G83" i="9"/>
  <c r="C83" i="9"/>
  <c r="C104" i="9"/>
  <c r="K104" i="9"/>
  <c r="K83" i="9"/>
  <c r="I104" i="9"/>
  <c r="I83" i="9"/>
  <c r="E83" i="9"/>
  <c r="E104" i="9"/>
  <c r="G27" i="9"/>
  <c r="I27" i="9"/>
  <c r="K27" i="9"/>
  <c r="L12" i="9"/>
  <c r="J12" i="9"/>
  <c r="H12" i="9"/>
  <c r="F12" i="9"/>
  <c r="K12" i="9"/>
  <c r="I12" i="9"/>
  <c r="G12" i="9"/>
  <c r="E12" i="9"/>
  <c r="C12" i="9"/>
  <c r="K82" i="9" l="1"/>
  <c r="K103" i="9"/>
  <c r="G103" i="9"/>
  <c r="G82" i="9"/>
  <c r="I82" i="9"/>
  <c r="I103" i="9"/>
  <c r="C82" i="9"/>
  <c r="C103" i="9"/>
  <c r="E103" i="9"/>
  <c r="E82" i="9"/>
  <c r="I26" i="9"/>
  <c r="G26" i="9"/>
  <c r="K26" i="9"/>
  <c r="L11" i="9"/>
  <c r="J11" i="9"/>
  <c r="H11" i="9"/>
  <c r="F11" i="9"/>
  <c r="K11" i="9"/>
  <c r="I11" i="9"/>
  <c r="G11" i="9"/>
  <c r="E11" i="9"/>
  <c r="C11" i="9"/>
  <c r="C102" i="9" l="1"/>
  <c r="C81" i="9"/>
  <c r="K81" i="9"/>
  <c r="K102" i="9"/>
  <c r="G81" i="9"/>
  <c r="G102" i="9"/>
  <c r="I102" i="9"/>
  <c r="I81" i="9"/>
  <c r="E102" i="9"/>
  <c r="E81" i="9"/>
  <c r="K25" i="9"/>
  <c r="I25" i="9"/>
  <c r="G25" i="9"/>
  <c r="AA11" i="9"/>
  <c r="Y11" i="9"/>
  <c r="W11" i="9"/>
  <c r="U11" i="9"/>
  <c r="Z11" i="9"/>
  <c r="X11" i="9"/>
  <c r="T11" i="9"/>
  <c r="R11" i="9"/>
  <c r="V102" i="9" l="1"/>
  <c r="X102" i="9"/>
  <c r="X81" i="9"/>
  <c r="R102" i="9"/>
  <c r="R81" i="9"/>
  <c r="Z102" i="9"/>
  <c r="Z81" i="9"/>
  <c r="T81" i="9"/>
  <c r="T102" i="9"/>
  <c r="X23" i="9"/>
  <c r="V23" i="9"/>
  <c r="Z23" i="9"/>
  <c r="AA10" i="9"/>
  <c r="Y10" i="9"/>
  <c r="W10" i="9"/>
  <c r="U10" i="9"/>
  <c r="Z10" i="9"/>
  <c r="X10" i="9"/>
  <c r="V10" i="9"/>
  <c r="T10" i="9"/>
  <c r="R10" i="9"/>
  <c r="R80" i="9" l="1"/>
  <c r="R101" i="9"/>
  <c r="V101" i="9"/>
  <c r="V80" i="9"/>
  <c r="X101" i="9"/>
  <c r="X80" i="9"/>
  <c r="Z101" i="9"/>
  <c r="Z80" i="9"/>
  <c r="T101" i="9"/>
  <c r="T80" i="9"/>
  <c r="Z22" i="9"/>
  <c r="X22" i="9"/>
  <c r="V22" i="9"/>
  <c r="AA9" i="9"/>
  <c r="Y9" i="9"/>
  <c r="W9" i="9"/>
  <c r="U9" i="9"/>
  <c r="Z9" i="9"/>
  <c r="X9" i="9"/>
  <c r="V9" i="9"/>
  <c r="T9" i="9"/>
  <c r="R9" i="9"/>
  <c r="T79" i="9" l="1"/>
  <c r="T100" i="9"/>
  <c r="V100" i="9"/>
  <c r="V79" i="9"/>
  <c r="X100" i="9"/>
  <c r="X79" i="9"/>
  <c r="R79" i="9"/>
  <c r="R100" i="9"/>
  <c r="Z100" i="9"/>
  <c r="Z79" i="9"/>
  <c r="Z21" i="9"/>
  <c r="X21" i="9"/>
  <c r="V21" i="9"/>
  <c r="L44" i="9"/>
  <c r="J44" i="9"/>
  <c r="H44" i="9"/>
  <c r="F44" i="9"/>
  <c r="K44" i="9"/>
  <c r="I44" i="9"/>
  <c r="G44" i="9"/>
  <c r="E44" i="9"/>
  <c r="C44" i="9"/>
  <c r="G58" i="9" l="1"/>
  <c r="I58" i="9"/>
  <c r="K58" i="9"/>
  <c r="L43" i="9"/>
  <c r="J43" i="9"/>
  <c r="H43" i="9"/>
  <c r="F43" i="9"/>
  <c r="K43" i="9"/>
  <c r="G43" i="9"/>
  <c r="I43" i="9"/>
  <c r="E43" i="9"/>
  <c r="C43" i="9"/>
  <c r="K57" i="9" l="1"/>
  <c r="I57" i="9"/>
  <c r="G57" i="9"/>
  <c r="AA42" i="9"/>
  <c r="Y42" i="9"/>
  <c r="W42" i="9"/>
  <c r="U42" i="9"/>
  <c r="Z42" i="9"/>
  <c r="X42" i="9"/>
  <c r="V42" i="9"/>
  <c r="T42" i="9"/>
  <c r="R42" i="9"/>
  <c r="X56" i="9" l="1"/>
  <c r="Z56" i="9"/>
  <c r="V56" i="9"/>
  <c r="AA41" i="9"/>
  <c r="Y41" i="9"/>
  <c r="W41" i="9"/>
  <c r="U41" i="9"/>
  <c r="Z41" i="9"/>
  <c r="X41" i="9"/>
  <c r="V41" i="9"/>
  <c r="T41" i="9"/>
  <c r="R41" i="9"/>
  <c r="Z55" i="9" l="1"/>
  <c r="V55" i="9"/>
  <c r="X55" i="9"/>
  <c r="L10" i="9"/>
  <c r="J10" i="9"/>
  <c r="H10" i="9"/>
  <c r="F10" i="9"/>
  <c r="K10" i="9"/>
  <c r="I10" i="9"/>
  <c r="G10" i="9"/>
  <c r="E10" i="9"/>
  <c r="C10" i="9"/>
  <c r="G80" i="9" l="1"/>
  <c r="G101" i="9"/>
  <c r="C101" i="9"/>
  <c r="C80" i="9"/>
  <c r="K101" i="9"/>
  <c r="K80" i="9"/>
  <c r="I101" i="9"/>
  <c r="I80" i="9"/>
  <c r="E101" i="9"/>
  <c r="E80" i="9"/>
  <c r="K24" i="9"/>
  <c r="G24" i="9"/>
  <c r="I24" i="9"/>
  <c r="L9" i="9"/>
  <c r="J9" i="9"/>
  <c r="H9" i="9"/>
  <c r="F9" i="9"/>
  <c r="K9" i="9"/>
  <c r="I9" i="9"/>
  <c r="G9" i="9"/>
  <c r="E9" i="9"/>
  <c r="C9" i="9"/>
  <c r="K79" i="9" l="1"/>
  <c r="K100" i="9"/>
  <c r="G100" i="9"/>
  <c r="G79" i="9"/>
  <c r="I100" i="9"/>
  <c r="I79" i="9"/>
  <c r="C79" i="9"/>
  <c r="C100" i="9"/>
  <c r="E79" i="9"/>
  <c r="E100" i="9"/>
  <c r="K23" i="9"/>
  <c r="G23" i="9"/>
  <c r="I23" i="9"/>
  <c r="AA8" i="9"/>
  <c r="Y8" i="9"/>
  <c r="W8" i="9"/>
  <c r="U8" i="9"/>
  <c r="Z8" i="9"/>
  <c r="X8" i="9"/>
  <c r="V8" i="9"/>
  <c r="T8" i="9"/>
  <c r="R8" i="9"/>
  <c r="V99" i="9" l="1"/>
  <c r="V78" i="9"/>
  <c r="T78" i="9"/>
  <c r="T99" i="9"/>
  <c r="X99" i="9"/>
  <c r="X78" i="9"/>
  <c r="R99" i="9"/>
  <c r="R78" i="9"/>
  <c r="Z99" i="9"/>
  <c r="Z78" i="9"/>
  <c r="Z20" i="9"/>
  <c r="X20" i="9"/>
  <c r="V20" i="9"/>
  <c r="AA7" i="9"/>
  <c r="Y7" i="9"/>
  <c r="W7" i="9"/>
  <c r="U7" i="9"/>
  <c r="Z7" i="9"/>
  <c r="X7" i="9"/>
  <c r="V7" i="9"/>
  <c r="T7" i="9"/>
  <c r="R7" i="9"/>
  <c r="X77" i="9" l="1"/>
  <c r="X98" i="9"/>
  <c r="R98" i="9"/>
  <c r="R77" i="9"/>
  <c r="Z98" i="9"/>
  <c r="Z77" i="9"/>
  <c r="T98" i="9"/>
  <c r="T77" i="9"/>
  <c r="V98" i="9"/>
  <c r="V77" i="9"/>
  <c r="V19" i="9"/>
  <c r="X19" i="9"/>
  <c r="Z19" i="9"/>
  <c r="L42" i="9"/>
  <c r="H42" i="9"/>
  <c r="F42" i="9"/>
  <c r="K42" i="9"/>
  <c r="K78" i="9" s="1"/>
  <c r="G42" i="9"/>
  <c r="E42" i="9"/>
  <c r="C42" i="9"/>
  <c r="K56" i="9" l="1"/>
  <c r="G56" i="9"/>
  <c r="AA40" i="9"/>
  <c r="Y40" i="9"/>
  <c r="W40" i="9"/>
  <c r="U40" i="9"/>
  <c r="Z40" i="9"/>
  <c r="X40" i="9"/>
  <c r="V40" i="9"/>
  <c r="T40" i="9"/>
  <c r="R40" i="9"/>
  <c r="Z54" i="9" l="1"/>
  <c r="V54" i="9"/>
  <c r="X54" i="9"/>
  <c r="L41" i="9"/>
  <c r="J41" i="9"/>
  <c r="H41" i="9"/>
  <c r="F41" i="9"/>
  <c r="K41" i="9"/>
  <c r="I41" i="9"/>
  <c r="G41" i="9"/>
  <c r="E41" i="9"/>
  <c r="C41" i="9"/>
  <c r="G55" i="9" l="1"/>
  <c r="I55" i="9"/>
  <c r="K55" i="9"/>
  <c r="H8" i="9"/>
  <c r="F8" i="9"/>
  <c r="G8" i="9"/>
  <c r="E8" i="9"/>
  <c r="C8" i="9"/>
  <c r="E99" i="9" l="1"/>
  <c r="E78" i="9"/>
  <c r="G99" i="9"/>
  <c r="G78" i="9"/>
  <c r="C78" i="9"/>
  <c r="C99" i="9"/>
  <c r="G22" i="9"/>
  <c r="AA6" i="9"/>
  <c r="Y6" i="9"/>
  <c r="W6" i="9"/>
  <c r="U6" i="9"/>
  <c r="Z6" i="9"/>
  <c r="X6" i="9"/>
  <c r="V6" i="9"/>
  <c r="T6" i="9"/>
  <c r="R6" i="9"/>
  <c r="R97" i="9" l="1"/>
  <c r="R76" i="9"/>
  <c r="Z97" i="9"/>
  <c r="Z76" i="9"/>
  <c r="T97" i="9"/>
  <c r="T76" i="9"/>
  <c r="V97" i="9"/>
  <c r="V76" i="9"/>
  <c r="X97" i="9"/>
  <c r="X76" i="9"/>
  <c r="V18" i="9"/>
  <c r="X18" i="9"/>
  <c r="Z18" i="9"/>
  <c r="L7" i="9"/>
  <c r="J7" i="9"/>
  <c r="H7" i="9"/>
  <c r="F7" i="9"/>
  <c r="K7" i="9"/>
  <c r="I7" i="9"/>
  <c r="G7" i="9"/>
  <c r="E7" i="9"/>
  <c r="C7" i="9"/>
  <c r="K77" i="9" l="1"/>
  <c r="K98" i="9"/>
  <c r="I77" i="9"/>
  <c r="I98" i="9"/>
  <c r="C77" i="9"/>
  <c r="C98" i="9"/>
  <c r="E98" i="9"/>
  <c r="E77" i="9"/>
  <c r="G98" i="9"/>
  <c r="G77" i="9"/>
  <c r="I21" i="9"/>
  <c r="G21" i="9"/>
  <c r="K21" i="9"/>
  <c r="C6" i="9"/>
  <c r="R5" i="9" l="1"/>
  <c r="R12" i="9" l="1"/>
  <c r="R13" i="9"/>
  <c r="C5" i="9"/>
  <c r="C15" i="9" l="1"/>
  <c r="C16" i="9" s="1"/>
  <c r="C14" i="9"/>
  <c r="R14" i="9"/>
  <c r="C39" i="9"/>
  <c r="C96" i="9" s="1"/>
  <c r="C88" i="9" l="1"/>
  <c r="C75" i="9"/>
  <c r="L40" i="9"/>
  <c r="J40" i="9"/>
  <c r="H40" i="9"/>
  <c r="F40" i="9"/>
  <c r="K40" i="9"/>
  <c r="I40" i="9"/>
  <c r="G40" i="9"/>
  <c r="E40" i="9"/>
  <c r="C40" i="9"/>
  <c r="C48" i="9" s="1"/>
  <c r="C17" i="9" s="1"/>
  <c r="C49" i="9" l="1"/>
  <c r="C50" i="9" s="1"/>
  <c r="C97" i="9"/>
  <c r="C105" i="9" s="1"/>
  <c r="C76" i="9"/>
  <c r="C85" i="9" s="1"/>
  <c r="C86" i="9" s="1"/>
  <c r="G54" i="9"/>
  <c r="I54" i="9"/>
  <c r="K54" i="9"/>
  <c r="AA39" i="9"/>
  <c r="Y39" i="9"/>
  <c r="W39" i="9"/>
  <c r="U39" i="9"/>
  <c r="Z39" i="9"/>
  <c r="X39" i="9"/>
  <c r="V39" i="9"/>
  <c r="T39" i="9"/>
  <c r="R39" i="9"/>
  <c r="C84" i="9" l="1"/>
  <c r="C106" i="9"/>
  <c r="C107" i="9" s="1"/>
  <c r="C52" i="9"/>
  <c r="R96" i="9"/>
  <c r="R75" i="9"/>
  <c r="U47" i="9"/>
  <c r="U48" i="9" s="1"/>
  <c r="U46" i="9"/>
  <c r="R46" i="9"/>
  <c r="R15" i="9" s="1"/>
  <c r="R47" i="9"/>
  <c r="R48" i="9" s="1"/>
  <c r="AA46" i="9"/>
  <c r="AA47" i="9"/>
  <c r="AA48" i="9" s="1"/>
  <c r="V47" i="9"/>
  <c r="V48" i="9" s="1"/>
  <c r="V53" i="9"/>
  <c r="V46" i="9"/>
  <c r="W46" i="9"/>
  <c r="W47" i="9"/>
  <c r="W48" i="9" s="1"/>
  <c r="Z47" i="9"/>
  <c r="Z48" i="9" s="1"/>
  <c r="Z46" i="9"/>
  <c r="T47" i="9"/>
  <c r="T48" i="9" s="1"/>
  <c r="T46" i="9"/>
  <c r="X47" i="9"/>
  <c r="X48" i="9" s="1"/>
  <c r="X46" i="9"/>
  <c r="Y47" i="9"/>
  <c r="Y48" i="9" s="1"/>
  <c r="Y46" i="9"/>
  <c r="V61" i="9"/>
  <c r="V62" i="9" s="1"/>
  <c r="X53" i="9"/>
  <c r="Z53" i="9"/>
  <c r="L39" i="9"/>
  <c r="J39" i="9"/>
  <c r="H39" i="9"/>
  <c r="F39" i="9"/>
  <c r="K39" i="9"/>
  <c r="I39" i="9"/>
  <c r="G39" i="9"/>
  <c r="E39" i="9"/>
  <c r="E48" i="9" l="1"/>
  <c r="R83" i="9"/>
  <c r="R84" i="9" s="1"/>
  <c r="R82" i="9"/>
  <c r="C87" i="9" s="1"/>
  <c r="R104" i="9"/>
  <c r="R105" i="9" s="1"/>
  <c r="R103" i="9"/>
  <c r="V60" i="9"/>
  <c r="G53" i="9"/>
  <c r="G68" i="9" s="1"/>
  <c r="I53" i="9"/>
  <c r="I68" i="9" s="1"/>
  <c r="Z61" i="9"/>
  <c r="Z62" i="9" s="1"/>
  <c r="Z60" i="9"/>
  <c r="K53" i="9"/>
  <c r="X61" i="9"/>
  <c r="X62" i="9" s="1"/>
  <c r="X60" i="9"/>
  <c r="I48" i="9"/>
  <c r="I49" i="9"/>
  <c r="I50" i="9" s="1"/>
  <c r="J48" i="9"/>
  <c r="J49" i="9"/>
  <c r="J50" i="9" s="1"/>
  <c r="K48" i="9"/>
  <c r="K49" i="9"/>
  <c r="K50" i="9" s="1"/>
  <c r="L48" i="9"/>
  <c r="L49" i="9"/>
  <c r="L50" i="9" s="1"/>
  <c r="E49" i="9"/>
  <c r="E50" i="9" s="1"/>
  <c r="F48" i="9"/>
  <c r="F49" i="9"/>
  <c r="F50" i="9" s="1"/>
  <c r="G48" i="9"/>
  <c r="G49" i="9"/>
  <c r="G50" i="9" s="1"/>
  <c r="H48" i="9"/>
  <c r="H49" i="9"/>
  <c r="H50" i="9" s="1"/>
  <c r="L6" i="9"/>
  <c r="J6" i="9"/>
  <c r="H6" i="9"/>
  <c r="F6" i="9"/>
  <c r="K6" i="9"/>
  <c r="I6" i="9"/>
  <c r="G6" i="9"/>
  <c r="E6" i="9"/>
  <c r="E76" i="9" l="1"/>
  <c r="E97" i="9"/>
  <c r="G76" i="9"/>
  <c r="G97" i="9"/>
  <c r="I97" i="9"/>
  <c r="I76" i="9"/>
  <c r="K97" i="9"/>
  <c r="K76" i="9"/>
  <c r="G20" i="9"/>
  <c r="I20" i="9"/>
  <c r="K20" i="9"/>
  <c r="I62" i="9"/>
  <c r="I63" i="9"/>
  <c r="I64" i="9" s="1"/>
  <c r="K62" i="9"/>
  <c r="K63" i="9"/>
  <c r="K64" i="9" s="1"/>
  <c r="K68" i="9"/>
  <c r="G63" i="9"/>
  <c r="G64" i="9" s="1"/>
  <c r="G62" i="9"/>
  <c r="AA5" i="9"/>
  <c r="Y5" i="9"/>
  <c r="W5" i="9"/>
  <c r="U5" i="9"/>
  <c r="Z5" i="9"/>
  <c r="X5" i="9"/>
  <c r="V5" i="9"/>
  <c r="T5" i="9"/>
  <c r="X96" i="9" l="1"/>
  <c r="X75" i="9"/>
  <c r="Z96" i="9"/>
  <c r="Z75" i="9"/>
  <c r="T96" i="9"/>
  <c r="T75" i="9"/>
  <c r="V96" i="9"/>
  <c r="V75" i="9"/>
  <c r="V82" i="9" s="1"/>
  <c r="V17" i="9"/>
  <c r="X12" i="9"/>
  <c r="X13" i="9"/>
  <c r="X14" i="9" s="1"/>
  <c r="X17" i="9"/>
  <c r="Y12" i="9"/>
  <c r="Y13" i="9"/>
  <c r="Y14" i="9" s="1"/>
  <c r="Z17" i="9"/>
  <c r="Z12" i="9"/>
  <c r="Z13" i="9"/>
  <c r="Z14" i="9" s="1"/>
  <c r="AA12" i="9"/>
  <c r="AA13" i="9"/>
  <c r="AA14" i="9" s="1"/>
  <c r="T12" i="9"/>
  <c r="T13" i="9"/>
  <c r="T14" i="9" s="1"/>
  <c r="U12" i="9"/>
  <c r="U13" i="9"/>
  <c r="U14" i="9" s="1"/>
  <c r="V12" i="9"/>
  <c r="V13" i="9"/>
  <c r="V14" i="9" s="1"/>
  <c r="W12" i="9"/>
  <c r="W13" i="9"/>
  <c r="W14" i="9" s="1"/>
  <c r="L5" i="9"/>
  <c r="J5" i="9"/>
  <c r="H5" i="9"/>
  <c r="F5" i="9"/>
  <c r="K5" i="9"/>
  <c r="I5" i="9"/>
  <c r="G5" i="9"/>
  <c r="E5" i="9"/>
  <c r="I75" i="9" l="1"/>
  <c r="I96" i="9"/>
  <c r="T104" i="9"/>
  <c r="T105" i="9" s="1"/>
  <c r="T103" i="9"/>
  <c r="T106" i="9" s="1"/>
  <c r="X103" i="9"/>
  <c r="X106" i="9" s="1"/>
  <c r="X104" i="9"/>
  <c r="X105" i="9" s="1"/>
  <c r="K75" i="9"/>
  <c r="K96" i="9"/>
  <c r="V83" i="9"/>
  <c r="V84" i="9" s="1"/>
  <c r="Z83" i="9"/>
  <c r="Z84" i="9" s="1"/>
  <c r="Z82" i="9"/>
  <c r="V104" i="9"/>
  <c r="V105" i="9" s="1"/>
  <c r="V103" i="9"/>
  <c r="V106" i="9" s="1"/>
  <c r="Z103" i="9"/>
  <c r="Z106" i="9" s="1"/>
  <c r="Z104" i="9"/>
  <c r="Z105" i="9" s="1"/>
  <c r="E15" i="9"/>
  <c r="E16" i="9" s="1"/>
  <c r="E75" i="9"/>
  <c r="E96" i="9"/>
  <c r="G75" i="9"/>
  <c r="G96" i="9"/>
  <c r="T83" i="9"/>
  <c r="T84" i="9" s="1"/>
  <c r="T82" i="9"/>
  <c r="X82" i="9"/>
  <c r="X83" i="9"/>
  <c r="X84" i="9" s="1"/>
  <c r="G19" i="9"/>
  <c r="V49" i="9"/>
  <c r="X25" i="9"/>
  <c r="X26" i="9" s="1"/>
  <c r="X24" i="9"/>
  <c r="V24" i="9"/>
  <c r="V25" i="9"/>
  <c r="V26" i="9" s="1"/>
  <c r="Z49" i="9"/>
  <c r="I19" i="9"/>
  <c r="Z24" i="9"/>
  <c r="Z25" i="9"/>
  <c r="Z26" i="9" s="1"/>
  <c r="T49" i="9"/>
  <c r="K19" i="9"/>
  <c r="X49" i="9"/>
  <c r="F14" i="9"/>
  <c r="F15" i="9"/>
  <c r="F16" i="9" s="1"/>
  <c r="G14" i="9"/>
  <c r="G15" i="9"/>
  <c r="G65" i="9" s="1"/>
  <c r="H14" i="9"/>
  <c r="H15" i="9"/>
  <c r="H16" i="9" s="1"/>
  <c r="E14" i="9"/>
  <c r="E51" i="9" s="1"/>
  <c r="J14" i="9"/>
  <c r="J15" i="9"/>
  <c r="J16" i="9" s="1"/>
  <c r="I14" i="9"/>
  <c r="I15" i="9"/>
  <c r="I16" i="9" s="1"/>
  <c r="K14" i="9"/>
  <c r="K15" i="9"/>
  <c r="K16" i="9" s="1"/>
  <c r="L14" i="9"/>
  <c r="L15" i="9"/>
  <c r="L16" i="9" s="1"/>
  <c r="H32" i="7"/>
  <c r="G32" i="7"/>
  <c r="X85" i="9" l="1"/>
  <c r="T85" i="9"/>
  <c r="E106" i="9"/>
  <c r="E107" i="9" s="1"/>
  <c r="E105" i="9"/>
  <c r="E108" i="9" s="1"/>
  <c r="K84" i="9"/>
  <c r="K85" i="9"/>
  <c r="K86" i="9" s="1"/>
  <c r="Z85" i="9"/>
  <c r="K106" i="9"/>
  <c r="K107" i="9" s="1"/>
  <c r="K105" i="9"/>
  <c r="K108" i="9" s="1"/>
  <c r="E85" i="9"/>
  <c r="E86" i="9" s="1"/>
  <c r="E84" i="9"/>
  <c r="E87" i="9" s="1"/>
  <c r="V85" i="9"/>
  <c r="I105" i="9"/>
  <c r="I108" i="9" s="1"/>
  <c r="I106" i="9"/>
  <c r="I107" i="9" s="1"/>
  <c r="G84" i="9"/>
  <c r="G85" i="9"/>
  <c r="G86" i="9" s="1"/>
  <c r="G106" i="9"/>
  <c r="G107" i="9" s="1"/>
  <c r="G105" i="9"/>
  <c r="G108" i="9" s="1"/>
  <c r="I85" i="9"/>
  <c r="I86" i="9" s="1"/>
  <c r="I84" i="9"/>
  <c r="H30" i="6"/>
  <c r="G51" i="9"/>
  <c r="K28" i="9"/>
  <c r="K29" i="9"/>
  <c r="K30" i="9" s="1"/>
  <c r="I29" i="9"/>
  <c r="I30" i="9" s="1"/>
  <c r="I28" i="9"/>
  <c r="G28" i="9"/>
  <c r="G29" i="9"/>
  <c r="G30" i="9" s="1"/>
  <c r="I51" i="9"/>
  <c r="K51" i="9"/>
  <c r="G16" i="9"/>
  <c r="H31" i="7"/>
  <c r="G31" i="7"/>
  <c r="K87" i="9" l="1"/>
  <c r="I87" i="9"/>
  <c r="G87" i="9"/>
  <c r="H29" i="6"/>
  <c r="H30" i="7"/>
  <c r="G30" i="7"/>
  <c r="H28" i="6" l="1"/>
  <c r="Q30" i="7"/>
  <c r="V29" i="6"/>
  <c r="Q29" i="7" l="1"/>
  <c r="V28" i="6"/>
  <c r="Q28" i="7" l="1"/>
  <c r="V27" i="6"/>
  <c r="H29" i="7" l="1"/>
  <c r="G29" i="7"/>
  <c r="H27" i="6" l="1"/>
  <c r="H28" i="7"/>
  <c r="G28" i="7"/>
  <c r="H26" i="6" s="1"/>
  <c r="H51" i="6" l="1"/>
  <c r="Q27" i="7"/>
  <c r="V26" i="6"/>
  <c r="Q26" i="7" l="1"/>
  <c r="V25" i="6"/>
  <c r="H27" i="7" l="1"/>
  <c r="G27" i="7"/>
  <c r="H25" i="6" l="1"/>
  <c r="Q25" i="7"/>
  <c r="V24" i="6"/>
  <c r="H26" i="7" l="1"/>
  <c r="G26" i="7"/>
  <c r="H24" i="6" l="1"/>
  <c r="H25" i="7"/>
  <c r="G25" i="7"/>
  <c r="H23" i="6" l="1"/>
  <c r="Q24" i="7"/>
  <c r="V23" i="6"/>
  <c r="Q31" i="7" l="1"/>
  <c r="Q32" i="7"/>
  <c r="Q33" i="7" s="1"/>
  <c r="V31" i="6"/>
  <c r="V32" i="6" s="1"/>
  <c r="V30" i="6"/>
  <c r="H24" i="7"/>
  <c r="G24" i="7"/>
  <c r="H22" i="6" l="1"/>
  <c r="H32" i="6" s="1"/>
  <c r="H33" i="6" s="1"/>
  <c r="H33" i="7"/>
  <c r="H34" i="7"/>
  <c r="H35" i="7" s="1"/>
  <c r="G33" i="7"/>
  <c r="G34" i="7"/>
  <c r="G35" i="7" s="1"/>
  <c r="Q11" i="7"/>
  <c r="H31" i="6" l="1"/>
  <c r="Q50" i="7"/>
  <c r="AJ50" i="7"/>
  <c r="P50" i="7"/>
  <c r="V11" i="6"/>
  <c r="H13" i="7"/>
  <c r="G13" i="7"/>
  <c r="Z52" i="7" s="1"/>
  <c r="H52" i="7" l="1"/>
  <c r="AA52" i="7"/>
  <c r="V72" i="6"/>
  <c r="V53" i="6"/>
  <c r="G52" i="7"/>
  <c r="H13" i="6"/>
  <c r="H12" i="7"/>
  <c r="G12" i="7"/>
  <c r="Z51" i="7" s="1"/>
  <c r="H51" i="7" l="1"/>
  <c r="AA51" i="7"/>
  <c r="H74" i="6"/>
  <c r="H55" i="6"/>
  <c r="G51" i="7"/>
  <c r="H12" i="6"/>
  <c r="H11" i="7"/>
  <c r="G11" i="7"/>
  <c r="Z50" i="7" s="1"/>
  <c r="H50" i="7" l="1"/>
  <c r="AA50" i="7"/>
  <c r="H54" i="6"/>
  <c r="H73" i="6"/>
  <c r="G50" i="7"/>
  <c r="H11" i="6"/>
  <c r="Q10" i="7"/>
  <c r="Q49" i="7" l="1"/>
  <c r="AJ49" i="7"/>
  <c r="H72" i="6"/>
  <c r="H53" i="6"/>
  <c r="P49" i="7"/>
  <c r="V10" i="6"/>
  <c r="Q9" i="7"/>
  <c r="Q48" i="7" l="1"/>
  <c r="AJ48" i="7"/>
  <c r="V71" i="6"/>
  <c r="V52" i="6"/>
  <c r="P48" i="7"/>
  <c r="V9" i="6"/>
  <c r="H10" i="7"/>
  <c r="G10" i="7"/>
  <c r="Z49" i="7" s="1"/>
  <c r="H49" i="7" l="1"/>
  <c r="AA49" i="7"/>
  <c r="V70" i="6"/>
  <c r="V51" i="6"/>
  <c r="G49" i="7"/>
  <c r="H10" i="6"/>
  <c r="Q8" i="7"/>
  <c r="Q47" i="7" l="1"/>
  <c r="AJ47" i="7"/>
  <c r="H71" i="6"/>
  <c r="H52" i="6"/>
  <c r="P47" i="7"/>
  <c r="V8" i="6"/>
  <c r="Q7" i="7"/>
  <c r="Q46" i="7" l="1"/>
  <c r="AJ46" i="7"/>
  <c r="V69" i="6"/>
  <c r="V50" i="6"/>
  <c r="P46" i="7"/>
  <c r="V7" i="6"/>
  <c r="H8" i="7"/>
  <c r="G8" i="7"/>
  <c r="Z47" i="7" s="1"/>
  <c r="H47" i="7" l="1"/>
  <c r="AA47" i="7"/>
  <c r="V68" i="6"/>
  <c r="V49" i="6"/>
  <c r="G47" i="7"/>
  <c r="H8" i="6"/>
  <c r="Q6" i="7"/>
  <c r="Q45" i="7" l="1"/>
  <c r="AJ45" i="7"/>
  <c r="H50" i="6"/>
  <c r="H69" i="6"/>
  <c r="P45" i="7"/>
  <c r="V6" i="6"/>
  <c r="H7" i="7"/>
  <c r="G7" i="7"/>
  <c r="Z46" i="7" s="1"/>
  <c r="H46" i="7" l="1"/>
  <c r="AA46" i="7"/>
  <c r="V67" i="6"/>
  <c r="V48" i="6"/>
  <c r="G46" i="7"/>
  <c r="H7" i="6"/>
  <c r="H6" i="7"/>
  <c r="G6" i="7"/>
  <c r="Z45" i="7" s="1"/>
  <c r="H45" i="7" l="1"/>
  <c r="AA45" i="7"/>
  <c r="H49" i="6"/>
  <c r="H68" i="6"/>
  <c r="G45" i="7"/>
  <c r="H6" i="6"/>
  <c r="Q5" i="7"/>
  <c r="V5" i="6"/>
  <c r="AJ44" i="7" l="1"/>
  <c r="Q13" i="7"/>
  <c r="Q12" i="7"/>
  <c r="H48" i="6"/>
  <c r="H67" i="6"/>
  <c r="V66" i="6"/>
  <c r="V47" i="6"/>
  <c r="V12" i="6"/>
  <c r="V13" i="6"/>
  <c r="V14" i="6" s="1"/>
  <c r="P44" i="7"/>
  <c r="Q44" i="7"/>
  <c r="H5" i="7"/>
  <c r="AA44" i="7" s="1"/>
  <c r="G5" i="7"/>
  <c r="H5" i="6" s="1"/>
  <c r="AJ54" i="7" l="1"/>
  <c r="Q14" i="7"/>
  <c r="AJ51" i="7"/>
  <c r="AJ52" i="7"/>
  <c r="AJ53" i="7" s="1"/>
  <c r="H66" i="6"/>
  <c r="Z44" i="7"/>
  <c r="AA54" i="7"/>
  <c r="AA55" i="7" s="1"/>
  <c r="AA53" i="7"/>
  <c r="H47" i="6"/>
  <c r="V54" i="6"/>
  <c r="V55" i="6"/>
  <c r="V56" i="6" s="1"/>
  <c r="V74" i="6"/>
  <c r="V75" i="6" s="1"/>
  <c r="V73" i="6"/>
  <c r="H15" i="6"/>
  <c r="H16" i="6" s="1"/>
  <c r="H14" i="6"/>
  <c r="G15" i="7"/>
  <c r="P55" i="7" s="1"/>
  <c r="G14" i="7"/>
  <c r="G44" i="7"/>
  <c r="H14" i="7"/>
  <c r="H15" i="7"/>
  <c r="H16" i="7" s="1"/>
  <c r="H44" i="7"/>
  <c r="P51" i="7"/>
  <c r="P52" i="7"/>
  <c r="P53" i="7" s="1"/>
  <c r="Q51" i="7"/>
  <c r="Q52" i="7"/>
  <c r="Q53" i="7" s="1"/>
  <c r="N30" i="7"/>
  <c r="O30" i="7" s="1"/>
  <c r="N29" i="7"/>
  <c r="O29" i="7" s="1"/>
  <c r="N28" i="7"/>
  <c r="O28" i="7" s="1"/>
  <c r="N27" i="7"/>
  <c r="O27" i="7" s="1"/>
  <c r="N26" i="7"/>
  <c r="O26" i="7" s="1"/>
  <c r="N25" i="7"/>
  <c r="O25" i="7" s="1"/>
  <c r="N24" i="7"/>
  <c r="N11" i="7"/>
  <c r="N10" i="7"/>
  <c r="N9" i="7"/>
  <c r="N8" i="7"/>
  <c r="N7" i="7"/>
  <c r="N6" i="7"/>
  <c r="N5" i="7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13" i="7"/>
  <c r="E12" i="7"/>
  <c r="E11" i="7"/>
  <c r="E10" i="7"/>
  <c r="E9" i="7"/>
  <c r="F9" i="7" s="1"/>
  <c r="E8" i="7"/>
  <c r="E7" i="7"/>
  <c r="E6" i="7"/>
  <c r="E5" i="7"/>
  <c r="F5" i="7" s="1"/>
  <c r="F33" i="7" l="1"/>
  <c r="F34" i="7"/>
  <c r="N12" i="7"/>
  <c r="AA56" i="7"/>
  <c r="O24" i="7"/>
  <c r="O31" i="7" s="1"/>
  <c r="N32" i="7"/>
  <c r="N33" i="7" s="1"/>
  <c r="N31" i="7"/>
  <c r="Z56" i="7"/>
  <c r="H57" i="7"/>
  <c r="N13" i="7"/>
  <c r="G16" i="7"/>
  <c r="G57" i="7"/>
  <c r="Y44" i="7"/>
  <c r="Y48" i="7"/>
  <c r="R7" i="7"/>
  <c r="O7" i="7"/>
  <c r="AH46" i="7" s="1"/>
  <c r="R11" i="7"/>
  <c r="O11" i="7"/>
  <c r="O50" i="7" s="1"/>
  <c r="R8" i="7"/>
  <c r="O8" i="7"/>
  <c r="O47" i="7" s="1"/>
  <c r="R5" i="7"/>
  <c r="O5" i="7"/>
  <c r="R9" i="7"/>
  <c r="O9" i="7"/>
  <c r="O48" i="7" s="1"/>
  <c r="R6" i="7"/>
  <c r="O6" i="7"/>
  <c r="O45" i="7" s="1"/>
  <c r="R10" i="7"/>
  <c r="O10" i="7"/>
  <c r="AH49" i="7" s="1"/>
  <c r="F48" i="7"/>
  <c r="I6" i="7"/>
  <c r="F6" i="7"/>
  <c r="F45" i="7" s="1"/>
  <c r="F35" i="7"/>
  <c r="I11" i="7"/>
  <c r="F11" i="7"/>
  <c r="F50" i="7" s="1"/>
  <c r="I8" i="7"/>
  <c r="F8" i="7"/>
  <c r="Y47" i="7" s="1"/>
  <c r="I12" i="7"/>
  <c r="F12" i="7"/>
  <c r="F51" i="7" s="1"/>
  <c r="I10" i="7"/>
  <c r="F10" i="7"/>
  <c r="F49" i="7" s="1"/>
  <c r="I7" i="7"/>
  <c r="F7" i="7"/>
  <c r="F46" i="7" s="1"/>
  <c r="I5" i="7"/>
  <c r="F44" i="7"/>
  <c r="I13" i="7"/>
  <c r="F13" i="7"/>
  <c r="F52" i="7" s="1"/>
  <c r="X44" i="7"/>
  <c r="X48" i="7"/>
  <c r="X52" i="7"/>
  <c r="AG44" i="7"/>
  <c r="AG48" i="7"/>
  <c r="X45" i="7"/>
  <c r="X49" i="7"/>
  <c r="AG45" i="7"/>
  <c r="AG49" i="7"/>
  <c r="X46" i="7"/>
  <c r="X50" i="7"/>
  <c r="AG46" i="7"/>
  <c r="AG50" i="7"/>
  <c r="Z53" i="7"/>
  <c r="Z54" i="7"/>
  <c r="Z55" i="7" s="1"/>
  <c r="X47" i="7"/>
  <c r="X51" i="7"/>
  <c r="AG47" i="7"/>
  <c r="H76" i="6"/>
  <c r="H77" i="6" s="1"/>
  <c r="H75" i="6"/>
  <c r="H57" i="6"/>
  <c r="H58" i="6" s="1"/>
  <c r="H56" i="6"/>
  <c r="Q54" i="7"/>
  <c r="I24" i="7"/>
  <c r="E44" i="7"/>
  <c r="E33" i="7"/>
  <c r="E34" i="7"/>
  <c r="E35" i="7" s="1"/>
  <c r="I28" i="7"/>
  <c r="E48" i="7"/>
  <c r="I32" i="7"/>
  <c r="E52" i="7"/>
  <c r="R24" i="7"/>
  <c r="N44" i="7"/>
  <c r="R28" i="7"/>
  <c r="N48" i="7"/>
  <c r="G54" i="7"/>
  <c r="G55" i="7" s="1"/>
  <c r="G53" i="7"/>
  <c r="G56" i="7" s="1"/>
  <c r="I25" i="7"/>
  <c r="E45" i="7"/>
  <c r="I29" i="7"/>
  <c r="E49" i="7"/>
  <c r="R25" i="7"/>
  <c r="N45" i="7"/>
  <c r="R29" i="7"/>
  <c r="N49" i="7"/>
  <c r="P54" i="7"/>
  <c r="I27" i="7"/>
  <c r="E47" i="7"/>
  <c r="I31" i="7"/>
  <c r="E51" i="7"/>
  <c r="R27" i="7"/>
  <c r="N47" i="7"/>
  <c r="I26" i="7"/>
  <c r="E46" i="7"/>
  <c r="I30" i="7"/>
  <c r="E50" i="7"/>
  <c r="R26" i="7"/>
  <c r="N46" i="7"/>
  <c r="R30" i="7"/>
  <c r="N50" i="7"/>
  <c r="H54" i="7"/>
  <c r="H55" i="7" s="1"/>
  <c r="H53" i="7"/>
  <c r="H56" i="7" s="1"/>
  <c r="Q55" i="7"/>
  <c r="E14" i="7"/>
  <c r="E15" i="7"/>
  <c r="E16" i="7" s="1"/>
  <c r="D30" i="6"/>
  <c r="G30" i="6"/>
  <c r="F30" i="6"/>
  <c r="E30" i="6"/>
  <c r="F14" i="7" l="1"/>
  <c r="I14" i="7"/>
  <c r="O12" i="7"/>
  <c r="E57" i="7"/>
  <c r="AG54" i="7"/>
  <c r="X56" i="7"/>
  <c r="AH44" i="7"/>
  <c r="O13" i="7"/>
  <c r="E53" i="7"/>
  <c r="R13" i="7"/>
  <c r="R12" i="7"/>
  <c r="N14" i="7"/>
  <c r="AK44" i="7"/>
  <c r="R31" i="7"/>
  <c r="R32" i="7"/>
  <c r="R33" i="7" s="1"/>
  <c r="AG51" i="7"/>
  <c r="AG52" i="7"/>
  <c r="AG53" i="7" s="1"/>
  <c r="F47" i="7"/>
  <c r="F53" i="7" s="1"/>
  <c r="O32" i="7"/>
  <c r="O33" i="7" s="1"/>
  <c r="AH50" i="7"/>
  <c r="AH47" i="7"/>
  <c r="O46" i="7"/>
  <c r="O49" i="7"/>
  <c r="Y45" i="7"/>
  <c r="O44" i="7"/>
  <c r="Y50" i="7"/>
  <c r="AH45" i="7"/>
  <c r="AH48" i="7"/>
  <c r="Y52" i="7"/>
  <c r="Y51" i="7"/>
  <c r="Y46" i="7"/>
  <c r="Y49" i="7"/>
  <c r="I15" i="7"/>
  <c r="I16" i="7" s="1"/>
  <c r="AB44" i="7"/>
  <c r="F16" i="7"/>
  <c r="X53" i="7"/>
  <c r="X54" i="7"/>
  <c r="X55" i="7" s="1"/>
  <c r="I50" i="7"/>
  <c r="AB50" i="7"/>
  <c r="I47" i="7"/>
  <c r="AB47" i="7"/>
  <c r="R45" i="7"/>
  <c r="AK45" i="7"/>
  <c r="I52" i="7"/>
  <c r="AB52" i="7"/>
  <c r="R50" i="7"/>
  <c r="AK50" i="7"/>
  <c r="R47" i="7"/>
  <c r="AK47" i="7"/>
  <c r="I49" i="7"/>
  <c r="AB49" i="7"/>
  <c r="R48" i="7"/>
  <c r="AK48" i="7"/>
  <c r="R46" i="7"/>
  <c r="AK46" i="7"/>
  <c r="I46" i="7"/>
  <c r="AB46" i="7"/>
  <c r="I51" i="7"/>
  <c r="AB51" i="7"/>
  <c r="R49" i="7"/>
  <c r="AK49" i="7"/>
  <c r="I45" i="7"/>
  <c r="AB45" i="7"/>
  <c r="L30" i="6"/>
  <c r="K30" i="6"/>
  <c r="G58" i="7"/>
  <c r="Q56" i="7"/>
  <c r="I30" i="6"/>
  <c r="J30" i="6"/>
  <c r="N55" i="7"/>
  <c r="N52" i="7"/>
  <c r="N53" i="7" s="1"/>
  <c r="N51" i="7"/>
  <c r="E56" i="7"/>
  <c r="E54" i="7"/>
  <c r="E55" i="7" s="1"/>
  <c r="P56" i="7"/>
  <c r="R44" i="7"/>
  <c r="I34" i="7"/>
  <c r="I35" i="7" s="1"/>
  <c r="I33" i="7"/>
  <c r="AB56" i="7" s="1"/>
  <c r="I44" i="7"/>
  <c r="H58" i="7"/>
  <c r="D29" i="6"/>
  <c r="G29" i="6"/>
  <c r="F29" i="6"/>
  <c r="E29" i="6"/>
  <c r="Y53" i="7" l="1"/>
  <c r="F57" i="7"/>
  <c r="F54" i="7"/>
  <c r="F55" i="7" s="1"/>
  <c r="AH52" i="7"/>
  <c r="AH53" i="7" s="1"/>
  <c r="Y54" i="7"/>
  <c r="Y55" i="7" s="1"/>
  <c r="R52" i="7"/>
  <c r="R53" i="7" s="1"/>
  <c r="R51" i="7"/>
  <c r="AK54" i="7"/>
  <c r="AK51" i="7"/>
  <c r="AK52" i="7"/>
  <c r="AK53" i="7" s="1"/>
  <c r="R14" i="7"/>
  <c r="I57" i="7"/>
  <c r="O14" i="7"/>
  <c r="AH54" i="7"/>
  <c r="O52" i="7"/>
  <c r="O53" i="7" s="1"/>
  <c r="R55" i="7"/>
  <c r="O51" i="7"/>
  <c r="F56" i="7"/>
  <c r="AB54" i="7"/>
  <c r="AB55" i="7" s="1"/>
  <c r="L29" i="6"/>
  <c r="K29" i="6"/>
  <c r="J29" i="6"/>
  <c r="I29" i="6"/>
  <c r="I53" i="7"/>
  <c r="I56" i="7" s="1"/>
  <c r="I54" i="7"/>
  <c r="I55" i="7" s="1"/>
  <c r="E58" i="7"/>
  <c r="N56" i="7"/>
  <c r="N54" i="7"/>
  <c r="D28" i="6"/>
  <c r="G28" i="6"/>
  <c r="F28" i="6"/>
  <c r="E28" i="6"/>
  <c r="F58" i="7" l="1"/>
  <c r="O54" i="7"/>
  <c r="L28" i="6"/>
  <c r="J28" i="6"/>
  <c r="K28" i="6"/>
  <c r="I28" i="6"/>
  <c r="I58" i="7"/>
  <c r="R56" i="7"/>
  <c r="R54" i="7"/>
  <c r="R29" i="6"/>
  <c r="U29" i="6"/>
  <c r="T29" i="6"/>
  <c r="S29" i="6"/>
  <c r="W29" i="6" l="1"/>
  <c r="Z29" i="6"/>
  <c r="Y29" i="6"/>
  <c r="X29" i="6"/>
  <c r="R28" i="6"/>
  <c r="U28" i="6"/>
  <c r="T28" i="6"/>
  <c r="S28" i="6"/>
  <c r="W28" i="6" l="1"/>
  <c r="Z28" i="6"/>
  <c r="Y28" i="6"/>
  <c r="X28" i="6"/>
  <c r="R27" i="6"/>
  <c r="U27" i="6"/>
  <c r="T27" i="6"/>
  <c r="Z27" i="6" l="1"/>
  <c r="X27" i="6"/>
  <c r="Y27" i="6"/>
  <c r="R11" i="6"/>
  <c r="U11" i="6"/>
  <c r="T11" i="6"/>
  <c r="S11" i="6"/>
  <c r="S53" i="6" l="1"/>
  <c r="S72" i="6"/>
  <c r="Z11" i="6"/>
  <c r="R53" i="6"/>
  <c r="R72" i="6"/>
  <c r="T53" i="6"/>
  <c r="T72" i="6"/>
  <c r="U72" i="6"/>
  <c r="U53" i="6"/>
  <c r="X11" i="6"/>
  <c r="Y11" i="6"/>
  <c r="W11" i="6"/>
  <c r="W72" i="6" s="1"/>
  <c r="D13" i="6"/>
  <c r="G13" i="6"/>
  <c r="F13" i="6"/>
  <c r="E13" i="6"/>
  <c r="X72" i="6" l="1"/>
  <c r="X53" i="6"/>
  <c r="L13" i="6"/>
  <c r="D74" i="6"/>
  <c r="D55" i="6"/>
  <c r="E74" i="6"/>
  <c r="E55" i="6"/>
  <c r="G74" i="6"/>
  <c r="G55" i="6"/>
  <c r="F55" i="6"/>
  <c r="F74" i="6"/>
  <c r="Y53" i="6"/>
  <c r="Y72" i="6"/>
  <c r="AA29" i="6"/>
  <c r="Z72" i="6"/>
  <c r="Z53" i="6"/>
  <c r="J13" i="6"/>
  <c r="K13" i="6"/>
  <c r="I13" i="6"/>
  <c r="D12" i="6"/>
  <c r="G12" i="6"/>
  <c r="F12" i="6"/>
  <c r="E12" i="6"/>
  <c r="L12" i="6" l="1"/>
  <c r="D54" i="6"/>
  <c r="D73" i="6"/>
  <c r="E73" i="6"/>
  <c r="E54" i="6"/>
  <c r="M30" i="6"/>
  <c r="L55" i="6"/>
  <c r="L74" i="6"/>
  <c r="G73" i="6"/>
  <c r="G54" i="6"/>
  <c r="I74" i="6"/>
  <c r="I55" i="6"/>
  <c r="F54" i="6"/>
  <c r="F73" i="6"/>
  <c r="K55" i="6"/>
  <c r="K74" i="6"/>
  <c r="J74" i="6"/>
  <c r="J55" i="6"/>
  <c r="I12" i="6"/>
  <c r="K12" i="6"/>
  <c r="J12" i="6"/>
  <c r="D11" i="6"/>
  <c r="G11" i="6"/>
  <c r="F11" i="6"/>
  <c r="E11" i="6"/>
  <c r="F72" i="6" l="1"/>
  <c r="F53" i="6"/>
  <c r="K73" i="6"/>
  <c r="K54" i="6"/>
  <c r="I73" i="6"/>
  <c r="I54" i="6"/>
  <c r="L11" i="6"/>
  <c r="D72" i="6"/>
  <c r="D53" i="6"/>
  <c r="G53" i="6"/>
  <c r="G72" i="6"/>
  <c r="E72" i="6"/>
  <c r="E53" i="6"/>
  <c r="J73" i="6"/>
  <c r="J54" i="6"/>
  <c r="M29" i="6"/>
  <c r="L73" i="6"/>
  <c r="L54" i="6"/>
  <c r="J11" i="6"/>
  <c r="K11" i="6"/>
  <c r="I11" i="6"/>
  <c r="R10" i="6"/>
  <c r="Z10" i="6" s="1"/>
  <c r="U10" i="6"/>
  <c r="T10" i="6"/>
  <c r="S10" i="6"/>
  <c r="T71" i="6" l="1"/>
  <c r="T52" i="6"/>
  <c r="J72" i="6"/>
  <c r="J53" i="6"/>
  <c r="R52" i="6"/>
  <c r="R71" i="6"/>
  <c r="K53" i="6"/>
  <c r="K72" i="6"/>
  <c r="U52" i="6"/>
  <c r="U71" i="6"/>
  <c r="M28" i="6"/>
  <c r="L53" i="6"/>
  <c r="L72" i="6"/>
  <c r="S52" i="6"/>
  <c r="S71" i="6"/>
  <c r="I53" i="6"/>
  <c r="I72" i="6"/>
  <c r="W10" i="6"/>
  <c r="X10" i="6"/>
  <c r="Y10" i="6"/>
  <c r="R9" i="6"/>
  <c r="U9" i="6"/>
  <c r="T9" i="6"/>
  <c r="S9" i="6"/>
  <c r="Y71" i="6" l="1"/>
  <c r="Y52" i="6"/>
  <c r="X71" i="6"/>
  <c r="X52" i="6"/>
  <c r="AA28" i="6"/>
  <c r="Z52" i="6"/>
  <c r="Z71" i="6"/>
  <c r="U70" i="6"/>
  <c r="U51" i="6"/>
  <c r="T70" i="6"/>
  <c r="T51" i="6"/>
  <c r="Z9" i="6"/>
  <c r="R51" i="6"/>
  <c r="R70" i="6"/>
  <c r="S70" i="6"/>
  <c r="S51" i="6"/>
  <c r="X9" i="6"/>
  <c r="W9" i="6"/>
  <c r="Y9" i="6"/>
  <c r="D27" i="6"/>
  <c r="G27" i="6"/>
  <c r="F27" i="6"/>
  <c r="E27" i="6"/>
  <c r="L27" i="6" l="1"/>
  <c r="AA27" i="6"/>
  <c r="Z70" i="6"/>
  <c r="Z51" i="6"/>
  <c r="Y51" i="6"/>
  <c r="Y70" i="6"/>
  <c r="W70" i="6"/>
  <c r="W51" i="6"/>
  <c r="X51" i="6"/>
  <c r="X70" i="6"/>
  <c r="I27" i="6"/>
  <c r="K27" i="6"/>
  <c r="J27" i="6"/>
  <c r="D26" i="6"/>
  <c r="G26" i="6"/>
  <c r="F26" i="6"/>
  <c r="E26" i="6"/>
  <c r="K26" i="6" l="1"/>
  <c r="I26" i="6"/>
  <c r="J26" i="6"/>
  <c r="R26" i="6"/>
  <c r="U26" i="6"/>
  <c r="T26" i="6"/>
  <c r="S26" i="6"/>
  <c r="W26" i="6" l="1"/>
  <c r="Z26" i="6"/>
  <c r="Y26" i="6"/>
  <c r="X26" i="6"/>
  <c r="R25" i="6"/>
  <c r="U25" i="6"/>
  <c r="T25" i="6"/>
  <c r="S25" i="6"/>
  <c r="W25" i="6" l="1"/>
  <c r="Z25" i="6"/>
  <c r="Y25" i="6"/>
  <c r="X25" i="6"/>
  <c r="D10" i="6"/>
  <c r="G10" i="6"/>
  <c r="F10" i="6"/>
  <c r="E10" i="6"/>
  <c r="G52" i="6" l="1"/>
  <c r="G71" i="6"/>
  <c r="L10" i="6"/>
  <c r="D71" i="6"/>
  <c r="D52" i="6"/>
  <c r="F52" i="6"/>
  <c r="F71" i="6"/>
  <c r="E71" i="6"/>
  <c r="E52" i="6"/>
  <c r="I10" i="6"/>
  <c r="K10" i="6"/>
  <c r="J10" i="6"/>
  <c r="D9" i="6"/>
  <c r="F9" i="6"/>
  <c r="E9" i="6"/>
  <c r="F70" i="6" l="1"/>
  <c r="F51" i="6"/>
  <c r="I71" i="6"/>
  <c r="I52" i="6"/>
  <c r="M27" i="6"/>
  <c r="L71" i="6"/>
  <c r="L52" i="6"/>
  <c r="D51" i="6"/>
  <c r="D70" i="6"/>
  <c r="J71" i="6"/>
  <c r="J52" i="6"/>
  <c r="E70" i="6"/>
  <c r="E51" i="6"/>
  <c r="K52" i="6"/>
  <c r="K71" i="6"/>
  <c r="I9" i="6"/>
  <c r="J9" i="6"/>
  <c r="R8" i="6"/>
  <c r="U8" i="6"/>
  <c r="T8" i="6"/>
  <c r="S8" i="6"/>
  <c r="S69" i="6" l="1"/>
  <c r="S50" i="6"/>
  <c r="U69" i="6"/>
  <c r="U50" i="6"/>
  <c r="Z8" i="6"/>
  <c r="R69" i="6"/>
  <c r="R50" i="6"/>
  <c r="J70" i="6"/>
  <c r="J51" i="6"/>
  <c r="T50" i="6"/>
  <c r="T69" i="6"/>
  <c r="I70" i="6"/>
  <c r="I51" i="6"/>
  <c r="Y8" i="6"/>
  <c r="X8" i="6"/>
  <c r="W8" i="6"/>
  <c r="R7" i="6"/>
  <c r="U7" i="6"/>
  <c r="T7" i="6"/>
  <c r="S7" i="6"/>
  <c r="S68" i="6" l="1"/>
  <c r="S49" i="6"/>
  <c r="T68" i="6"/>
  <c r="T49" i="6"/>
  <c r="X50" i="6"/>
  <c r="X69" i="6"/>
  <c r="Z7" i="6"/>
  <c r="R68" i="6"/>
  <c r="R49" i="6"/>
  <c r="U68" i="6"/>
  <c r="U49" i="6"/>
  <c r="Y50" i="6"/>
  <c r="Y69" i="6"/>
  <c r="AA26" i="6"/>
  <c r="Z69" i="6"/>
  <c r="Z50" i="6"/>
  <c r="X7" i="6"/>
  <c r="Y7" i="6"/>
  <c r="W7" i="6"/>
  <c r="D25" i="6"/>
  <c r="G25" i="6"/>
  <c r="F25" i="6"/>
  <c r="E25" i="6"/>
  <c r="X68" i="6" l="1"/>
  <c r="X49" i="6"/>
  <c r="L25" i="6"/>
  <c r="AA25" i="6"/>
  <c r="Z68" i="6"/>
  <c r="Z49" i="6"/>
  <c r="Y68" i="6"/>
  <c r="Y49" i="6"/>
  <c r="K25" i="6"/>
  <c r="I25" i="6"/>
  <c r="J25" i="6"/>
  <c r="R24" i="6"/>
  <c r="U24" i="6"/>
  <c r="T24" i="6"/>
  <c r="S24" i="6"/>
  <c r="W24" i="6" l="1"/>
  <c r="Z24" i="6"/>
  <c r="X24" i="6"/>
  <c r="Y24" i="6"/>
  <c r="U30" i="6"/>
  <c r="U31" i="6"/>
  <c r="U32" i="6" s="1"/>
  <c r="D24" i="6"/>
  <c r="G24" i="6"/>
  <c r="F24" i="6"/>
  <c r="E24" i="6"/>
  <c r="L24" i="6" l="1"/>
  <c r="J24" i="6"/>
  <c r="K24" i="6"/>
  <c r="I24" i="6"/>
  <c r="G8" i="6"/>
  <c r="F8" i="6"/>
  <c r="E8" i="6"/>
  <c r="D8" i="6"/>
  <c r="L8" i="6" l="1"/>
  <c r="D69" i="6"/>
  <c r="D50" i="6"/>
  <c r="F69" i="6"/>
  <c r="F50" i="6"/>
  <c r="G69" i="6"/>
  <c r="G50" i="6"/>
  <c r="E50" i="6"/>
  <c r="E69" i="6"/>
  <c r="J8" i="6"/>
  <c r="K8" i="6"/>
  <c r="I8" i="6"/>
  <c r="R6" i="6"/>
  <c r="U6" i="6"/>
  <c r="T6" i="6"/>
  <c r="S6" i="6"/>
  <c r="S67" i="6" l="1"/>
  <c r="S48" i="6"/>
  <c r="T67" i="6"/>
  <c r="T48" i="6"/>
  <c r="K69" i="6"/>
  <c r="K50" i="6"/>
  <c r="M25" i="6"/>
  <c r="L69" i="6"/>
  <c r="L50" i="6"/>
  <c r="I69" i="6"/>
  <c r="I50" i="6"/>
  <c r="U67" i="6"/>
  <c r="U48" i="6"/>
  <c r="J69" i="6"/>
  <c r="J50" i="6"/>
  <c r="Z6" i="6"/>
  <c r="R67" i="6"/>
  <c r="R48" i="6"/>
  <c r="X6" i="6"/>
  <c r="Y6" i="6"/>
  <c r="W6" i="6"/>
  <c r="D7" i="6"/>
  <c r="G7" i="6"/>
  <c r="F7" i="6"/>
  <c r="E7" i="6"/>
  <c r="F68" i="6" l="1"/>
  <c r="F49" i="6"/>
  <c r="AA24" i="6"/>
  <c r="Z67" i="6"/>
  <c r="Z48" i="6"/>
  <c r="X48" i="6"/>
  <c r="X67" i="6"/>
  <c r="Y67" i="6"/>
  <c r="Y48" i="6"/>
  <c r="G68" i="6"/>
  <c r="G49" i="6"/>
  <c r="L7" i="6"/>
  <c r="D68" i="6"/>
  <c r="D49" i="6"/>
  <c r="E68" i="6"/>
  <c r="E49" i="6"/>
  <c r="J7" i="6"/>
  <c r="K7" i="6"/>
  <c r="I7" i="6"/>
  <c r="D23" i="6"/>
  <c r="G23" i="6"/>
  <c r="F23" i="6"/>
  <c r="E23" i="6"/>
  <c r="L23" i="6" l="1"/>
  <c r="M24" i="6"/>
  <c r="L68" i="6"/>
  <c r="L49" i="6"/>
  <c r="I68" i="6"/>
  <c r="I49" i="6"/>
  <c r="K68" i="6"/>
  <c r="K49" i="6"/>
  <c r="J68" i="6"/>
  <c r="J49" i="6"/>
  <c r="J23" i="6"/>
  <c r="I23" i="6"/>
  <c r="K23" i="6"/>
  <c r="R23" i="6"/>
  <c r="T23" i="6"/>
  <c r="S23" i="6"/>
  <c r="W23" i="6" l="1"/>
  <c r="W71" i="6"/>
  <c r="W52" i="6"/>
  <c r="W68" i="6"/>
  <c r="W49" i="6"/>
  <c r="W53" i="6"/>
  <c r="W67" i="6"/>
  <c r="W48" i="6"/>
  <c r="W69" i="6"/>
  <c r="W50" i="6"/>
  <c r="X23" i="6"/>
  <c r="S31" i="6"/>
  <c r="S32" i="6" s="1"/>
  <c r="S30" i="6"/>
  <c r="T31" i="6"/>
  <c r="T32" i="6" s="1"/>
  <c r="T30" i="6"/>
  <c r="Y30" i="6"/>
  <c r="Y31" i="6"/>
  <c r="Y32" i="6" s="1"/>
  <c r="R31" i="6"/>
  <c r="R32" i="6" s="1"/>
  <c r="R30" i="6"/>
  <c r="Z23" i="6"/>
  <c r="D22" i="6"/>
  <c r="G22" i="6"/>
  <c r="F22" i="6"/>
  <c r="E22" i="6"/>
  <c r="Z31" i="6" l="1"/>
  <c r="Z30" i="6"/>
  <c r="Z32" i="6"/>
  <c r="L22" i="6"/>
  <c r="K22" i="6"/>
  <c r="I22" i="6"/>
  <c r="J22" i="6"/>
  <c r="D31" i="6"/>
  <c r="D32" i="6"/>
  <c r="D33" i="6" s="1"/>
  <c r="E32" i="6"/>
  <c r="E33" i="6" s="1"/>
  <c r="E31" i="6"/>
  <c r="F32" i="6"/>
  <c r="F33" i="6" s="1"/>
  <c r="F31" i="6"/>
  <c r="W31" i="6"/>
  <c r="W32" i="6" s="1"/>
  <c r="W30" i="6"/>
  <c r="X31" i="6"/>
  <c r="X32" i="6" s="1"/>
  <c r="X30" i="6"/>
  <c r="G31" i="6"/>
  <c r="G32" i="6"/>
  <c r="G33" i="6" s="1"/>
  <c r="D6" i="6"/>
  <c r="G6" i="6"/>
  <c r="F6" i="6"/>
  <c r="E6" i="6"/>
  <c r="L33" i="6" l="1"/>
  <c r="L31" i="6"/>
  <c r="L6" i="6"/>
  <c r="D67" i="6"/>
  <c r="D48" i="6"/>
  <c r="F67" i="6"/>
  <c r="F48" i="6"/>
  <c r="G48" i="6"/>
  <c r="G67" i="6"/>
  <c r="E67" i="6"/>
  <c r="E48" i="6"/>
  <c r="K6" i="6"/>
  <c r="I6" i="6"/>
  <c r="J6" i="6"/>
  <c r="J32" i="6"/>
  <c r="J33" i="6" s="1"/>
  <c r="J31" i="6"/>
  <c r="I32" i="6"/>
  <c r="I33" i="6" s="1"/>
  <c r="I31" i="6"/>
  <c r="K31" i="6"/>
  <c r="K32" i="6"/>
  <c r="K33" i="6" s="1"/>
  <c r="R5" i="6"/>
  <c r="U5" i="6"/>
  <c r="T5" i="6"/>
  <c r="S5" i="6"/>
  <c r="T66" i="6" l="1"/>
  <c r="T47" i="6"/>
  <c r="S47" i="6"/>
  <c r="S66" i="6"/>
  <c r="J67" i="6"/>
  <c r="J48" i="6"/>
  <c r="I67" i="6"/>
  <c r="I48" i="6"/>
  <c r="U66" i="6"/>
  <c r="U47" i="6"/>
  <c r="K67" i="6"/>
  <c r="K48" i="6"/>
  <c r="R66" i="6"/>
  <c r="R47" i="6"/>
  <c r="M23" i="6"/>
  <c r="L67" i="6"/>
  <c r="L48" i="6"/>
  <c r="W5" i="6"/>
  <c r="S13" i="6"/>
  <c r="S14" i="6" s="1"/>
  <c r="S12" i="6"/>
  <c r="R12" i="6"/>
  <c r="R13" i="6"/>
  <c r="R14" i="6" s="1"/>
  <c r="Z5" i="6"/>
  <c r="X5" i="6"/>
  <c r="T13" i="6"/>
  <c r="T14" i="6" s="1"/>
  <c r="T12" i="6"/>
  <c r="U12" i="6"/>
  <c r="Y5" i="6"/>
  <c r="U13" i="6"/>
  <c r="U14" i="6" s="1"/>
  <c r="G5" i="6"/>
  <c r="F5" i="6"/>
  <c r="E5" i="6"/>
  <c r="D5" i="6"/>
  <c r="L5" i="6" s="1"/>
  <c r="M22" i="6" l="1"/>
  <c r="L14" i="6"/>
  <c r="L15" i="6"/>
  <c r="L47" i="6"/>
  <c r="Z12" i="6"/>
  <c r="Z47" i="6"/>
  <c r="AA30" i="6"/>
  <c r="L66" i="6"/>
  <c r="L37" i="6"/>
  <c r="Z38" i="6"/>
  <c r="E66" i="6"/>
  <c r="E47" i="6"/>
  <c r="F66" i="6"/>
  <c r="F47" i="6"/>
  <c r="Z66" i="6"/>
  <c r="G66" i="6"/>
  <c r="G47" i="6"/>
  <c r="W66" i="6"/>
  <c r="W47" i="6"/>
  <c r="R55" i="6"/>
  <c r="R56" i="6" s="1"/>
  <c r="R54" i="6"/>
  <c r="U54" i="6"/>
  <c r="U55" i="6"/>
  <c r="U56" i="6" s="1"/>
  <c r="T54" i="6"/>
  <c r="T55" i="6"/>
  <c r="T56" i="6" s="1"/>
  <c r="Y66" i="6"/>
  <c r="Y47" i="6"/>
  <c r="X47" i="6"/>
  <c r="X66" i="6"/>
  <c r="S73" i="6"/>
  <c r="S74" i="6"/>
  <c r="S75" i="6" s="1"/>
  <c r="S55" i="6"/>
  <c r="S56" i="6" s="1"/>
  <c r="S54" i="6"/>
  <c r="D47" i="6"/>
  <c r="D66" i="6"/>
  <c r="R73" i="6"/>
  <c r="R74" i="6"/>
  <c r="R75" i="6" s="1"/>
  <c r="U74" i="6"/>
  <c r="U75" i="6" s="1"/>
  <c r="U73" i="6"/>
  <c r="T73" i="6"/>
  <c r="T74" i="6"/>
  <c r="T75" i="6" s="1"/>
  <c r="K5" i="6"/>
  <c r="I5" i="6"/>
  <c r="J5" i="6"/>
  <c r="X13" i="6"/>
  <c r="X14" i="6" s="1"/>
  <c r="X12" i="6"/>
  <c r="D15" i="6"/>
  <c r="D16" i="6" s="1"/>
  <c r="D14" i="6"/>
  <c r="E14" i="6"/>
  <c r="E15" i="6"/>
  <c r="E16" i="6" s="1"/>
  <c r="Y12" i="6"/>
  <c r="Y13" i="6"/>
  <c r="Y14" i="6" s="1"/>
  <c r="F14" i="6"/>
  <c r="F15" i="6"/>
  <c r="F16" i="6" s="1"/>
  <c r="G14" i="6"/>
  <c r="G15" i="6"/>
  <c r="G16" i="6" s="1"/>
  <c r="W13" i="6"/>
  <c r="W14" i="6" s="1"/>
  <c r="W12" i="6"/>
  <c r="Q30" i="5"/>
  <c r="P30" i="5"/>
  <c r="L76" i="6" l="1"/>
  <c r="L75" i="6"/>
  <c r="L57" i="6"/>
  <c r="L58" i="6" s="1"/>
  <c r="M31" i="6"/>
  <c r="M32" i="6"/>
  <c r="L35" i="6" s="1"/>
  <c r="Z74" i="6"/>
  <c r="Z75" i="6" s="1"/>
  <c r="Z73" i="6"/>
  <c r="L16" i="6"/>
  <c r="Z54" i="6"/>
  <c r="Z55" i="6"/>
  <c r="Z56" i="6" s="1"/>
  <c r="Z33" i="6"/>
  <c r="Z14" i="6"/>
  <c r="AA31" i="6"/>
  <c r="X55" i="6"/>
  <c r="X56" i="6" s="1"/>
  <c r="X54" i="6"/>
  <c r="G75" i="6"/>
  <c r="G76" i="6"/>
  <c r="G77" i="6" s="1"/>
  <c r="F56" i="6"/>
  <c r="F57" i="6"/>
  <c r="F58" i="6" s="1"/>
  <c r="J47" i="6"/>
  <c r="J66" i="6"/>
  <c r="I47" i="6"/>
  <c r="I66" i="6"/>
  <c r="D75" i="6"/>
  <c r="D76" i="6"/>
  <c r="D77" i="6" s="1"/>
  <c r="Y55" i="6"/>
  <c r="Y56" i="6" s="1"/>
  <c r="Y54" i="6"/>
  <c r="W55" i="6"/>
  <c r="W56" i="6" s="1"/>
  <c r="W54" i="6"/>
  <c r="F75" i="6"/>
  <c r="F76" i="6"/>
  <c r="F77" i="6" s="1"/>
  <c r="K47" i="6"/>
  <c r="K66" i="6"/>
  <c r="D56" i="6"/>
  <c r="D57" i="6"/>
  <c r="D58" i="6" s="1"/>
  <c r="Y74" i="6"/>
  <c r="Y75" i="6" s="1"/>
  <c r="Y73" i="6"/>
  <c r="W73" i="6"/>
  <c r="W74" i="6"/>
  <c r="W75" i="6" s="1"/>
  <c r="E57" i="6"/>
  <c r="E58" i="6" s="1"/>
  <c r="E56" i="6"/>
  <c r="X73" i="6"/>
  <c r="X74" i="6"/>
  <c r="X75" i="6" s="1"/>
  <c r="G56" i="6"/>
  <c r="G57" i="6"/>
  <c r="G58" i="6" s="1"/>
  <c r="E76" i="6"/>
  <c r="E77" i="6" s="1"/>
  <c r="E75" i="6"/>
  <c r="K14" i="6"/>
  <c r="K15" i="6"/>
  <c r="K16" i="6" s="1"/>
  <c r="I14" i="6"/>
  <c r="I15" i="6"/>
  <c r="I16" i="6" s="1"/>
  <c r="J14" i="6"/>
  <c r="J15" i="6"/>
  <c r="J16" i="6" s="1"/>
  <c r="G32" i="5"/>
  <c r="F32" i="5"/>
  <c r="M33" i="6" l="1"/>
  <c r="Z34" i="6"/>
  <c r="AA32" i="6"/>
  <c r="I57" i="6"/>
  <c r="I58" i="6" s="1"/>
  <c r="I56" i="6"/>
  <c r="J75" i="6"/>
  <c r="J76" i="6"/>
  <c r="J77" i="6" s="1"/>
  <c r="K75" i="6"/>
  <c r="K76" i="6"/>
  <c r="K77" i="6" s="1"/>
  <c r="L77" i="6"/>
  <c r="J57" i="6"/>
  <c r="J58" i="6" s="1"/>
  <c r="J56" i="6"/>
  <c r="K57" i="6"/>
  <c r="K58" i="6" s="1"/>
  <c r="K56" i="6"/>
  <c r="I76" i="6"/>
  <c r="I77" i="6" s="1"/>
  <c r="I75" i="6"/>
  <c r="G31" i="5"/>
  <c r="F31" i="5"/>
  <c r="G30" i="5" l="1"/>
  <c r="F30" i="5"/>
  <c r="Q29" i="5" l="1"/>
  <c r="P29" i="5"/>
  <c r="Q28" i="5" l="1"/>
  <c r="P28" i="5"/>
  <c r="Q12" i="5" l="1"/>
  <c r="P12" i="5"/>
  <c r="Q53" i="5" l="1"/>
  <c r="Q75" i="5"/>
  <c r="P53" i="5"/>
  <c r="P75" i="5"/>
  <c r="G14" i="5"/>
  <c r="F14" i="5"/>
  <c r="F55" i="5" l="1"/>
  <c r="F77" i="5"/>
  <c r="G55" i="5"/>
  <c r="G77" i="5"/>
  <c r="G13" i="5"/>
  <c r="F13" i="5"/>
  <c r="F54" i="5" l="1"/>
  <c r="F76" i="5"/>
  <c r="G54" i="5"/>
  <c r="G76" i="5"/>
  <c r="G12" i="5"/>
  <c r="F12" i="5"/>
  <c r="F53" i="5" l="1"/>
  <c r="F75" i="5"/>
  <c r="G53" i="5"/>
  <c r="G75" i="5"/>
  <c r="Q11" i="5"/>
  <c r="P11" i="5"/>
  <c r="P52" i="5" l="1"/>
  <c r="P74" i="5"/>
  <c r="Q52" i="5"/>
  <c r="Q74" i="5"/>
  <c r="Q10" i="5"/>
  <c r="P10" i="5"/>
  <c r="P73" i="5" s="1"/>
  <c r="P51" i="5" l="1"/>
  <c r="Q51" i="5"/>
  <c r="Q73" i="5"/>
  <c r="G29" i="5"/>
  <c r="F29" i="5"/>
  <c r="G28" i="5" l="1"/>
  <c r="G51" i="5" s="1"/>
  <c r="F28" i="5"/>
  <c r="F51" i="5" s="1"/>
  <c r="Q27" i="5" l="1"/>
  <c r="Q26" i="5" l="1"/>
  <c r="P26" i="5"/>
  <c r="G11" i="5" l="1"/>
  <c r="F11" i="5"/>
  <c r="G52" i="5" l="1"/>
  <c r="G74" i="5"/>
  <c r="F52" i="5"/>
  <c r="F74" i="5"/>
  <c r="Q9" i="5"/>
  <c r="P9" i="5"/>
  <c r="Q50" i="5" l="1"/>
  <c r="Q72" i="5"/>
  <c r="Q8" i="5"/>
  <c r="P8" i="5"/>
  <c r="P49" i="5" l="1"/>
  <c r="P71" i="5"/>
  <c r="Q49" i="5"/>
  <c r="Q71" i="5"/>
  <c r="G27" i="5"/>
  <c r="F27" i="5"/>
  <c r="Q25" i="5" l="1"/>
  <c r="P25" i="5"/>
  <c r="G26" i="5" l="1"/>
  <c r="F26" i="5"/>
  <c r="G9" i="5" l="1"/>
  <c r="F9" i="5"/>
  <c r="F50" i="5" l="1"/>
  <c r="F72" i="5"/>
  <c r="G50" i="5"/>
  <c r="G72" i="5"/>
  <c r="P7" i="5"/>
  <c r="P70" i="5" s="1"/>
  <c r="P48" i="5" l="1"/>
  <c r="Q48" i="5"/>
  <c r="Q70" i="5"/>
  <c r="G8" i="5"/>
  <c r="F8" i="5"/>
  <c r="F49" i="5" l="1"/>
  <c r="F71" i="5"/>
  <c r="G49" i="5"/>
  <c r="G71" i="5"/>
  <c r="G25" i="5"/>
  <c r="F25" i="5"/>
  <c r="Q24" i="5" l="1"/>
  <c r="P24" i="5"/>
  <c r="P33" i="5" l="1"/>
  <c r="Q31" i="5"/>
  <c r="Q32" i="5"/>
  <c r="Q33" i="5" s="1"/>
  <c r="G24" i="5"/>
  <c r="G34" i="5" s="1"/>
  <c r="F24" i="5"/>
  <c r="F34" i="5" l="1"/>
  <c r="F35" i="5" s="1"/>
  <c r="G33" i="5"/>
  <c r="G35" i="5"/>
  <c r="F33" i="5"/>
  <c r="G7" i="5"/>
  <c r="F7" i="5"/>
  <c r="F48" i="5" l="1"/>
  <c r="F70" i="5"/>
  <c r="G48" i="5"/>
  <c r="G70" i="5"/>
  <c r="Q6" i="5"/>
  <c r="Q13" i="5" s="1"/>
  <c r="P6" i="5"/>
  <c r="P69" i="5" s="1"/>
  <c r="Q14" i="5" l="1"/>
  <c r="Q15" i="5" s="1"/>
  <c r="P13" i="5"/>
  <c r="P35" i="5"/>
  <c r="Q69" i="5"/>
  <c r="Q35" i="5"/>
  <c r="P47" i="5"/>
  <c r="P54" i="5" s="1"/>
  <c r="Q47" i="5"/>
  <c r="Q54" i="5" s="1"/>
  <c r="G6" i="5"/>
  <c r="G15" i="5" s="1"/>
  <c r="F6" i="5"/>
  <c r="F69" i="5" s="1"/>
  <c r="F16" i="5" l="1"/>
  <c r="F17" i="5" s="1"/>
  <c r="F15" i="5"/>
  <c r="P15" i="5"/>
  <c r="F78" i="5"/>
  <c r="F37" i="5"/>
  <c r="G69" i="5"/>
  <c r="G78" i="5" s="1"/>
  <c r="G37" i="5"/>
  <c r="Q76" i="5"/>
  <c r="Q77" i="5"/>
  <c r="Q78" i="5" s="1"/>
  <c r="P76" i="5"/>
  <c r="P77" i="5"/>
  <c r="P78" i="5" s="1"/>
  <c r="F47" i="5"/>
  <c r="G16" i="5"/>
  <c r="G17" i="5" s="1"/>
  <c r="G47" i="5"/>
  <c r="P57" i="5"/>
  <c r="P55" i="5"/>
  <c r="P56" i="5" s="1"/>
  <c r="Q57" i="5"/>
  <c r="Q55" i="5"/>
  <c r="Q56" i="5" s="1"/>
  <c r="O30" i="5"/>
  <c r="N30" i="5"/>
  <c r="F36" i="5" l="1"/>
  <c r="P58" i="5"/>
  <c r="F79" i="5"/>
  <c r="F80" i="5" s="1"/>
  <c r="G36" i="5"/>
  <c r="F57" i="5"/>
  <c r="F58" i="5" s="1"/>
  <c r="F56" i="5"/>
  <c r="G79" i="5"/>
  <c r="G80" i="5" s="1"/>
  <c r="Q58" i="5"/>
  <c r="G60" i="5"/>
  <c r="G56" i="5"/>
  <c r="G57" i="5"/>
  <c r="G58" i="5" s="1"/>
  <c r="E32" i="5"/>
  <c r="D32" i="5"/>
  <c r="Q59" i="5" l="1"/>
  <c r="G61" i="5"/>
  <c r="G59" i="5"/>
  <c r="F59" i="5"/>
  <c r="E31" i="5"/>
  <c r="D31" i="5"/>
  <c r="E30" i="5" l="1"/>
  <c r="D30" i="5"/>
  <c r="O29" i="5" l="1"/>
  <c r="N29" i="5"/>
  <c r="O28" i="5" l="1"/>
  <c r="N28" i="5"/>
  <c r="E14" i="5" l="1"/>
  <c r="D14" i="5"/>
  <c r="E55" i="5" l="1"/>
  <c r="E77" i="5"/>
  <c r="D77" i="5"/>
  <c r="D55" i="5"/>
  <c r="O12" i="5"/>
  <c r="N12" i="5"/>
  <c r="N53" i="5" l="1"/>
  <c r="N75" i="5"/>
  <c r="O53" i="5"/>
  <c r="O75" i="5"/>
  <c r="E13" i="5"/>
  <c r="D13" i="5"/>
  <c r="D54" i="5" l="1"/>
  <c r="D76" i="5"/>
  <c r="E54" i="5"/>
  <c r="E76" i="5"/>
  <c r="E12" i="5"/>
  <c r="D12" i="5"/>
  <c r="D75" i="5" l="1"/>
  <c r="D53" i="5"/>
  <c r="E53" i="5"/>
  <c r="E75" i="5"/>
  <c r="O11" i="5"/>
  <c r="N11" i="5"/>
  <c r="N52" i="5" l="1"/>
  <c r="N74" i="5"/>
  <c r="O52" i="5"/>
  <c r="O74" i="5"/>
  <c r="O10" i="5"/>
  <c r="N10" i="5"/>
  <c r="O51" i="5" l="1"/>
  <c r="O73" i="5"/>
  <c r="N51" i="5"/>
  <c r="N73" i="5"/>
  <c r="E29" i="5"/>
  <c r="D29" i="5"/>
  <c r="E28" i="5" l="1"/>
  <c r="D28" i="5"/>
  <c r="O27" i="5" l="1"/>
  <c r="N27" i="5"/>
  <c r="O26" i="5" l="1"/>
  <c r="N26" i="5"/>
  <c r="E11" i="5" l="1"/>
  <c r="D11" i="5"/>
  <c r="E52" i="5" l="1"/>
  <c r="E74" i="5"/>
  <c r="D74" i="5"/>
  <c r="D52" i="5"/>
  <c r="E10" i="5"/>
  <c r="D10" i="5"/>
  <c r="D73" i="5" l="1"/>
  <c r="D51" i="5"/>
  <c r="E51" i="5"/>
  <c r="E73" i="5"/>
  <c r="O9" i="5"/>
  <c r="N9" i="5"/>
  <c r="N72" i="5" l="1"/>
  <c r="N50" i="5"/>
  <c r="O50" i="5"/>
  <c r="O72" i="5"/>
  <c r="O8" i="5"/>
  <c r="N8" i="5"/>
  <c r="O49" i="5" l="1"/>
  <c r="O71" i="5"/>
  <c r="N49" i="5"/>
  <c r="N71" i="5"/>
  <c r="E27" i="5"/>
  <c r="D27" i="5"/>
  <c r="O25" i="5" l="1"/>
  <c r="N25" i="5"/>
  <c r="E26" i="5" l="1"/>
  <c r="D26" i="5"/>
  <c r="E9" i="5" l="1"/>
  <c r="D9" i="5"/>
  <c r="E50" i="5" l="1"/>
  <c r="E72" i="5"/>
  <c r="D50" i="5"/>
  <c r="D72" i="5"/>
  <c r="O7" i="5"/>
  <c r="N7" i="5"/>
  <c r="N70" i="5" l="1"/>
  <c r="N48" i="5"/>
  <c r="O48" i="5"/>
  <c r="O70" i="5"/>
  <c r="E8" i="5"/>
  <c r="D8" i="5"/>
  <c r="D49" i="5" l="1"/>
  <c r="D71" i="5"/>
  <c r="E49" i="5"/>
  <c r="E71" i="5"/>
  <c r="D25" i="5"/>
  <c r="E25" i="5"/>
  <c r="O24" i="5" l="1"/>
  <c r="N24" i="5"/>
  <c r="O31" i="5" l="1"/>
  <c r="O32" i="5"/>
  <c r="O33" i="5" s="1"/>
  <c r="N31" i="5"/>
  <c r="N32" i="5"/>
  <c r="N33" i="5" s="1"/>
  <c r="E24" i="5"/>
  <c r="D24" i="5"/>
  <c r="D33" i="5" s="1"/>
  <c r="E34" i="5" l="1"/>
  <c r="E35" i="5" s="1"/>
  <c r="E33" i="5"/>
  <c r="D34" i="5"/>
  <c r="D35" i="5" s="1"/>
  <c r="E7" i="5"/>
  <c r="D7" i="5"/>
  <c r="E48" i="5" l="1"/>
  <c r="E70" i="5"/>
  <c r="D48" i="5"/>
  <c r="D70" i="5"/>
  <c r="O6" i="5"/>
  <c r="N6" i="5"/>
  <c r="O69" i="5" l="1"/>
  <c r="O13" i="5"/>
  <c r="O14" i="5"/>
  <c r="O15" i="5" s="1"/>
  <c r="N13" i="5"/>
  <c r="N14" i="5"/>
  <c r="N15" i="5" s="1"/>
  <c r="N69" i="5"/>
  <c r="N47" i="5"/>
  <c r="O47" i="5"/>
  <c r="E6" i="5"/>
  <c r="E69" i="5" s="1"/>
  <c r="D6" i="5"/>
  <c r="O34" i="5" l="1"/>
  <c r="D69" i="5"/>
  <c r="D15" i="5"/>
  <c r="N76" i="5"/>
  <c r="N77" i="5"/>
  <c r="N78" i="5" s="1"/>
  <c r="O77" i="5"/>
  <c r="O78" i="5" s="1"/>
  <c r="O76" i="5"/>
  <c r="E78" i="5"/>
  <c r="E79" i="5"/>
  <c r="E80" i="5" s="1"/>
  <c r="D47" i="5"/>
  <c r="N55" i="5"/>
  <c r="N56" i="5" s="1"/>
  <c r="N54" i="5"/>
  <c r="N57" i="5" s="1"/>
  <c r="O55" i="5"/>
  <c r="O56" i="5" s="1"/>
  <c r="O54" i="5"/>
  <c r="O57" i="5" s="1"/>
  <c r="E16" i="5"/>
  <c r="E17" i="5" s="1"/>
  <c r="E15" i="5"/>
  <c r="E47" i="5"/>
  <c r="D16" i="5"/>
  <c r="D17" i="5" s="1"/>
  <c r="AD32" i="4"/>
  <c r="AC32" i="4"/>
  <c r="AB32" i="4"/>
  <c r="AA32" i="4"/>
  <c r="AL32" i="4"/>
  <c r="AK32" i="4"/>
  <c r="E36" i="5" l="1"/>
  <c r="D36" i="5"/>
  <c r="E60" i="5"/>
  <c r="D79" i="5"/>
  <c r="D80" i="5" s="1"/>
  <c r="D78" i="5"/>
  <c r="O58" i="5"/>
  <c r="N58" i="5"/>
  <c r="D57" i="5"/>
  <c r="D58" i="5" s="1"/>
  <c r="D56" i="5"/>
  <c r="D59" i="5" s="1"/>
  <c r="E57" i="5"/>
  <c r="E58" i="5" s="1"/>
  <c r="E56" i="5"/>
  <c r="AM32" i="4"/>
  <c r="AD31" i="4"/>
  <c r="AC31" i="4"/>
  <c r="AB31" i="4"/>
  <c r="AA31" i="4"/>
  <c r="N59" i="5" l="1"/>
  <c r="E61" i="5"/>
  <c r="O59" i="5"/>
  <c r="E59" i="5"/>
  <c r="AM31" i="4"/>
  <c r="AD30" i="4"/>
  <c r="AC30" i="4"/>
  <c r="AB30" i="4"/>
  <c r="AA30" i="4"/>
  <c r="AL30" i="4"/>
  <c r="AK30" i="4"/>
  <c r="AM30" i="4" l="1"/>
  <c r="AD29" i="4"/>
  <c r="AC29" i="4"/>
  <c r="AC70" i="4" s="1"/>
  <c r="AB29" i="4"/>
  <c r="AB70" i="4" s="1"/>
  <c r="AA29" i="4"/>
  <c r="AA70" i="4" s="1"/>
  <c r="AF29" i="4" l="1"/>
  <c r="AE29" i="4"/>
  <c r="AE70" i="4" s="1"/>
  <c r="AM29" i="4"/>
  <c r="AD28" i="4"/>
  <c r="AC28" i="4"/>
  <c r="AB28" i="4"/>
  <c r="AA28" i="4"/>
  <c r="BB8" i="4" l="1"/>
  <c r="BB28" i="4"/>
  <c r="AN29" i="4"/>
  <c r="AM28" i="4"/>
  <c r="AD27" i="4"/>
  <c r="AC27" i="4"/>
  <c r="AB27" i="4"/>
  <c r="AA27" i="4"/>
  <c r="AM27" i="4" l="1"/>
  <c r="AD26" i="4"/>
  <c r="AC26" i="4"/>
  <c r="AB26" i="4"/>
  <c r="AA26" i="4"/>
  <c r="AL26" i="4"/>
  <c r="AK26" i="4"/>
  <c r="AK33" i="4" l="1"/>
  <c r="AK34" i="4"/>
  <c r="AK35" i="4" s="1"/>
  <c r="AL34" i="4"/>
  <c r="AL35" i="4" s="1"/>
  <c r="AL33" i="4"/>
  <c r="AB33" i="4"/>
  <c r="AB34" i="4"/>
  <c r="AB35" i="4" s="1"/>
  <c r="AD34" i="4"/>
  <c r="AD35" i="4" s="1"/>
  <c r="AD33" i="4"/>
  <c r="AA34" i="4"/>
  <c r="AA35" i="4" s="1"/>
  <c r="AA33" i="4"/>
  <c r="AC33" i="4"/>
  <c r="AC34" i="4"/>
  <c r="AC35" i="4" s="1"/>
  <c r="AM26" i="4"/>
  <c r="AD11" i="4"/>
  <c r="AC11" i="4"/>
  <c r="AB11" i="4"/>
  <c r="AA11" i="4"/>
  <c r="AL11" i="4"/>
  <c r="AK11" i="4"/>
  <c r="AM34" i="4" l="1"/>
  <c r="AM33" i="4"/>
  <c r="AA54" i="4"/>
  <c r="AA73" i="4"/>
  <c r="AB54" i="4"/>
  <c r="AB73" i="4"/>
  <c r="AK54" i="4"/>
  <c r="AK73" i="4"/>
  <c r="AC54" i="4"/>
  <c r="AC73" i="4"/>
  <c r="AL54" i="4"/>
  <c r="AL73" i="4"/>
  <c r="AD54" i="4"/>
  <c r="AD73" i="4"/>
  <c r="AM11" i="4"/>
  <c r="AF11" i="4"/>
  <c r="AE11" i="4"/>
  <c r="AE26" i="4"/>
  <c r="AF26" i="4"/>
  <c r="AE30" i="4"/>
  <c r="AF30" i="4"/>
  <c r="BB29" i="4" s="1"/>
  <c r="AF27" i="4"/>
  <c r="BB26" i="4" s="1"/>
  <c r="AE27" i="4"/>
  <c r="AF31" i="4"/>
  <c r="BB30" i="4" s="1"/>
  <c r="AE31" i="4"/>
  <c r="AF28" i="4"/>
  <c r="BB27" i="4" s="1"/>
  <c r="AE28" i="4"/>
  <c r="AF32" i="4"/>
  <c r="AE32" i="4"/>
  <c r="AE73" i="4" s="1"/>
  <c r="AD10" i="4"/>
  <c r="AC10" i="4"/>
  <c r="AB10" i="4"/>
  <c r="AA10" i="4"/>
  <c r="BB11" i="4" l="1"/>
  <c r="BB31" i="4"/>
  <c r="BB5" i="4"/>
  <c r="BB25" i="4"/>
  <c r="AN30" i="4"/>
  <c r="BB9" i="4"/>
  <c r="AN31" i="4"/>
  <c r="BB10" i="4"/>
  <c r="AN28" i="4"/>
  <c r="BB7" i="4"/>
  <c r="AN27" i="4"/>
  <c r="BB6" i="4"/>
  <c r="AF34" i="4"/>
  <c r="AM35" i="4"/>
  <c r="AN26" i="4"/>
  <c r="AF33" i="4"/>
  <c r="AN11" i="4"/>
  <c r="AF37" i="4"/>
  <c r="AF73" i="4"/>
  <c r="AN32" i="4"/>
  <c r="AK53" i="4"/>
  <c r="AK72" i="4"/>
  <c r="AD53" i="4"/>
  <c r="AD72" i="4"/>
  <c r="AA53" i="4"/>
  <c r="AA72" i="4"/>
  <c r="AB53" i="4"/>
  <c r="AB72" i="4"/>
  <c r="AC53" i="4"/>
  <c r="AC72" i="4"/>
  <c r="AM54" i="4"/>
  <c r="AM73" i="4"/>
  <c r="AL53" i="4"/>
  <c r="AL72" i="4"/>
  <c r="AE34" i="4"/>
  <c r="AE35" i="4" s="1"/>
  <c r="AE33" i="4"/>
  <c r="AE54" i="4"/>
  <c r="AF54" i="4"/>
  <c r="AE10" i="4"/>
  <c r="AE53" i="4" s="1"/>
  <c r="AF10" i="4"/>
  <c r="AM10" i="4"/>
  <c r="AD9" i="4"/>
  <c r="AC9" i="4"/>
  <c r="AB9" i="4"/>
  <c r="AA9" i="4"/>
  <c r="AA71" i="4" s="1"/>
  <c r="AL9" i="4"/>
  <c r="AK9" i="4"/>
  <c r="BB13" i="4" l="1"/>
  <c r="BB14" i="4" s="1"/>
  <c r="BB12" i="4"/>
  <c r="AF35" i="4"/>
  <c r="AN34" i="4"/>
  <c r="AN35" i="4" s="1"/>
  <c r="AN33" i="4"/>
  <c r="AN10" i="4"/>
  <c r="AF9" i="4"/>
  <c r="AF53" i="4"/>
  <c r="AF72" i="4"/>
  <c r="AE72" i="4"/>
  <c r="AL52" i="4"/>
  <c r="AL71" i="4"/>
  <c r="AD52" i="4"/>
  <c r="AD71" i="4"/>
  <c r="AB52" i="4"/>
  <c r="AB71" i="4"/>
  <c r="AK52" i="4"/>
  <c r="AK71" i="4"/>
  <c r="AC52" i="4"/>
  <c r="AC71" i="4"/>
  <c r="AM53" i="4"/>
  <c r="AM72" i="4"/>
  <c r="AA52" i="4"/>
  <c r="AE9" i="4"/>
  <c r="AM9" i="4"/>
  <c r="AC51" i="4"/>
  <c r="AB51" i="4"/>
  <c r="AA51" i="4"/>
  <c r="AN9" i="4" l="1"/>
  <c r="AE52" i="4"/>
  <c r="AE71" i="4"/>
  <c r="AK51" i="4"/>
  <c r="AK70" i="4"/>
  <c r="AL51" i="4"/>
  <c r="AL70" i="4"/>
  <c r="AF52" i="4"/>
  <c r="AF71" i="4"/>
  <c r="AM52" i="4"/>
  <c r="AM71" i="4"/>
  <c r="AM8" i="4"/>
  <c r="AN8" i="4" s="1"/>
  <c r="AE51" i="4"/>
  <c r="AA7" i="4"/>
  <c r="AC7" i="4"/>
  <c r="AD7" i="4"/>
  <c r="AB7" i="4"/>
  <c r="AF7" i="4" l="1"/>
  <c r="AM51" i="4"/>
  <c r="AM70" i="4"/>
  <c r="AK50" i="4"/>
  <c r="AK69" i="4"/>
  <c r="AC50" i="4"/>
  <c r="AC69" i="4"/>
  <c r="AB50" i="4"/>
  <c r="AB69" i="4"/>
  <c r="AD50" i="4"/>
  <c r="AD69" i="4"/>
  <c r="AL50" i="4"/>
  <c r="AL69" i="4"/>
  <c r="AA50" i="4"/>
  <c r="AA69" i="4"/>
  <c r="AM7" i="4"/>
  <c r="AE7" i="4"/>
  <c r="AD6" i="4"/>
  <c r="AC6" i="4"/>
  <c r="AB6" i="4"/>
  <c r="AA6" i="4"/>
  <c r="AN7" i="4" l="1"/>
  <c r="AK49" i="4"/>
  <c r="AK68" i="4"/>
  <c r="AL49" i="4"/>
  <c r="AL68" i="4"/>
  <c r="AD49" i="4"/>
  <c r="AD68" i="4"/>
  <c r="AA49" i="4"/>
  <c r="AA68" i="4"/>
  <c r="AF50" i="4"/>
  <c r="AF69" i="4"/>
  <c r="AB49" i="4"/>
  <c r="AB68" i="4"/>
  <c r="AE50" i="4"/>
  <c r="AE69" i="4"/>
  <c r="AM50" i="4"/>
  <c r="AM69" i="4"/>
  <c r="AC49" i="4"/>
  <c r="AC68" i="4"/>
  <c r="AM6" i="4"/>
  <c r="AE6" i="4"/>
  <c r="AF6" i="4"/>
  <c r="AD5" i="4"/>
  <c r="AC5" i="4"/>
  <c r="AC67" i="4" s="1"/>
  <c r="AB5" i="4"/>
  <c r="AB67" i="4" s="1"/>
  <c r="AA5" i="4"/>
  <c r="AA67" i="4" s="1"/>
  <c r="AL5" i="4"/>
  <c r="AK5" i="4"/>
  <c r="AN6" i="4" l="1"/>
  <c r="AC75" i="4"/>
  <c r="AC76" i="4" s="1"/>
  <c r="AD67" i="4"/>
  <c r="AD13" i="4"/>
  <c r="AD14" i="4" s="1"/>
  <c r="AD12" i="4"/>
  <c r="AL13" i="4"/>
  <c r="AL12" i="4"/>
  <c r="AK13" i="4"/>
  <c r="AK12" i="4"/>
  <c r="AF49" i="4"/>
  <c r="AF68" i="4"/>
  <c r="AB75" i="4"/>
  <c r="AB76" i="4" s="1"/>
  <c r="AB74" i="4"/>
  <c r="AE49" i="4"/>
  <c r="AE68" i="4"/>
  <c r="AA75" i="4"/>
  <c r="AA76" i="4" s="1"/>
  <c r="AA74" i="4"/>
  <c r="AK48" i="4"/>
  <c r="AK55" i="4" s="1"/>
  <c r="AK67" i="4"/>
  <c r="AM49" i="4"/>
  <c r="AM68" i="4"/>
  <c r="AL48" i="4"/>
  <c r="AL55" i="4" s="1"/>
  <c r="AL67" i="4"/>
  <c r="AC74" i="4"/>
  <c r="AA13" i="4"/>
  <c r="AA48" i="4"/>
  <c r="AA55" i="4" s="1"/>
  <c r="Z55" i="4"/>
  <c r="Z56" i="4"/>
  <c r="Z57" i="4" s="1"/>
  <c r="AB48" i="4"/>
  <c r="AD48" i="4"/>
  <c r="AC48" i="4"/>
  <c r="AM5" i="4"/>
  <c r="AM13" i="4" s="1"/>
  <c r="AF5" i="4"/>
  <c r="AF13" i="4" s="1"/>
  <c r="AE5" i="4"/>
  <c r="P13" i="4"/>
  <c r="O13" i="4"/>
  <c r="BB33" i="4" l="1"/>
  <c r="BB34" i="4" s="1"/>
  <c r="BB32" i="4"/>
  <c r="AL58" i="4"/>
  <c r="AF12" i="4"/>
  <c r="AM12" i="4"/>
  <c r="AE67" i="4"/>
  <c r="AE75" i="4" s="1"/>
  <c r="AE76" i="4" s="1"/>
  <c r="AE13" i="4"/>
  <c r="AF16" i="4"/>
  <c r="AN5" i="4"/>
  <c r="AK58" i="4"/>
  <c r="AF67" i="4"/>
  <c r="AD55" i="4"/>
  <c r="AD56" i="4"/>
  <c r="AD57" i="4" s="1"/>
  <c r="AD75" i="4"/>
  <c r="AD76" i="4" s="1"/>
  <c r="AD74" i="4"/>
  <c r="AK14" i="4"/>
  <c r="AL14" i="4"/>
  <c r="AA58" i="4"/>
  <c r="AM48" i="4"/>
  <c r="AM56" i="4" s="1"/>
  <c r="AM57" i="4" s="1"/>
  <c r="AM67" i="4"/>
  <c r="AL56" i="4"/>
  <c r="AL57" i="4" s="1"/>
  <c r="AK56" i="4"/>
  <c r="AK57" i="4" s="1"/>
  <c r="AL74" i="4"/>
  <c r="AL75" i="4"/>
  <c r="AL76" i="4" s="1"/>
  <c r="AK74" i="4"/>
  <c r="AK75" i="4"/>
  <c r="AK76" i="4" s="1"/>
  <c r="AE48" i="4"/>
  <c r="AA56" i="4"/>
  <c r="AA57" i="4" s="1"/>
  <c r="AC55" i="4"/>
  <c r="AC56" i="4"/>
  <c r="AC57" i="4" s="1"/>
  <c r="AF48" i="4"/>
  <c r="AB55" i="4"/>
  <c r="AB56" i="4"/>
  <c r="AB57" i="4" s="1"/>
  <c r="P11" i="4"/>
  <c r="O11" i="4"/>
  <c r="AE74" i="4" l="1"/>
  <c r="AF14" i="4"/>
  <c r="AN12" i="4"/>
  <c r="AN13" i="4"/>
  <c r="AN14" i="4" s="1"/>
  <c r="AF75" i="4"/>
  <c r="AF76" i="4" s="1"/>
  <c r="AF74" i="4"/>
  <c r="AF56" i="4"/>
  <c r="AF57" i="4" s="1"/>
  <c r="AM55" i="4"/>
  <c r="AM58" i="4" s="1"/>
  <c r="AM14" i="4"/>
  <c r="AM74" i="4"/>
  <c r="AM75" i="4"/>
  <c r="AM76" i="4" s="1"/>
  <c r="AE56" i="4"/>
  <c r="AE57" i="4" s="1"/>
  <c r="AE55" i="4"/>
  <c r="P32" i="4"/>
  <c r="O32" i="4"/>
  <c r="O53" i="4" s="1"/>
  <c r="O75" i="4" l="1"/>
  <c r="P53" i="4"/>
  <c r="P75" i="4"/>
  <c r="Q32" i="4"/>
  <c r="P33" i="4"/>
  <c r="O33" i="4"/>
  <c r="Q33" i="4" l="1"/>
  <c r="P34" i="4"/>
  <c r="P55" i="4" s="1"/>
  <c r="O34" i="4"/>
  <c r="O55" i="4" s="1"/>
  <c r="P77" i="4" l="1"/>
  <c r="O77" i="4"/>
  <c r="Q34" i="4"/>
  <c r="Q29" i="4" l="1"/>
  <c r="Q28" i="4" l="1"/>
  <c r="P31" i="4"/>
  <c r="O31" i="4"/>
  <c r="Q31" i="4" l="1"/>
  <c r="Q30" i="4" l="1"/>
  <c r="P27" i="4"/>
  <c r="O27" i="4"/>
  <c r="Q27" i="4" l="1"/>
  <c r="O36" i="4" l="1"/>
  <c r="O37" i="4" s="1"/>
  <c r="O35" i="4"/>
  <c r="P36" i="4"/>
  <c r="P37" i="4" s="1"/>
  <c r="P35" i="4"/>
  <c r="Q26" i="4"/>
  <c r="H34" i="4"/>
  <c r="G34" i="4"/>
  <c r="F34" i="4"/>
  <c r="E34" i="4"/>
  <c r="Q36" i="4" l="1"/>
  <c r="Q38" i="4" s="1"/>
  <c r="Q35" i="4"/>
  <c r="H33" i="4"/>
  <c r="G33" i="4"/>
  <c r="F33" i="4"/>
  <c r="E33" i="4"/>
  <c r="Q39" i="4" l="1"/>
  <c r="Q37" i="4"/>
  <c r="H32" i="4"/>
  <c r="G32" i="4"/>
  <c r="F32" i="4"/>
  <c r="E32" i="4"/>
  <c r="J32" i="4" l="1"/>
  <c r="AV31" i="4" s="1"/>
  <c r="H31" i="4"/>
  <c r="G31" i="4"/>
  <c r="F31" i="4"/>
  <c r="E31" i="4"/>
  <c r="R32" i="4" l="1"/>
  <c r="H30" i="4"/>
  <c r="G30" i="4"/>
  <c r="F30" i="4"/>
  <c r="E30" i="4"/>
  <c r="J30" i="4" l="1"/>
  <c r="AV29" i="4" s="1"/>
  <c r="I30" i="4"/>
  <c r="H29" i="4"/>
  <c r="G29" i="4"/>
  <c r="F29" i="4"/>
  <c r="E29" i="4"/>
  <c r="R30" i="4" l="1"/>
  <c r="H28" i="4"/>
  <c r="G28" i="4"/>
  <c r="F28" i="4"/>
  <c r="E28" i="4"/>
  <c r="E27" i="4" l="1"/>
  <c r="H27" i="4"/>
  <c r="G27" i="4"/>
  <c r="F27" i="4"/>
  <c r="H26" i="4" l="1"/>
  <c r="G26" i="4"/>
  <c r="F26" i="4"/>
  <c r="E26" i="4"/>
  <c r="J26" i="4" l="1"/>
  <c r="AV25" i="4" s="1"/>
  <c r="H36" i="4"/>
  <c r="H37" i="4" s="1"/>
  <c r="H35" i="4"/>
  <c r="E35" i="4"/>
  <c r="E36" i="4"/>
  <c r="E37" i="4" s="1"/>
  <c r="F36" i="4"/>
  <c r="F37" i="4" s="1"/>
  <c r="F35" i="4"/>
  <c r="G35" i="4"/>
  <c r="G36" i="4"/>
  <c r="G37" i="4" s="1"/>
  <c r="R26" i="4" l="1"/>
  <c r="J34" i="4"/>
  <c r="I34" i="4"/>
  <c r="I32" i="4"/>
  <c r="H12" i="4"/>
  <c r="G12" i="4"/>
  <c r="F12" i="4"/>
  <c r="E12" i="4"/>
  <c r="R34" i="4" l="1"/>
  <c r="AV33" i="4"/>
  <c r="G54" i="4"/>
  <c r="G76" i="4"/>
  <c r="F54" i="4"/>
  <c r="F76" i="4"/>
  <c r="H54" i="4"/>
  <c r="H76" i="4"/>
  <c r="E54" i="4"/>
  <c r="E76" i="4"/>
  <c r="J12" i="4"/>
  <c r="I12" i="4"/>
  <c r="H11" i="4"/>
  <c r="G11" i="4"/>
  <c r="F11" i="4"/>
  <c r="E11" i="4"/>
  <c r="E53" i="4" l="1"/>
  <c r="E75" i="4"/>
  <c r="F53" i="4"/>
  <c r="F75" i="4"/>
  <c r="G53" i="4"/>
  <c r="G75" i="4"/>
  <c r="H53" i="4"/>
  <c r="H75" i="4"/>
  <c r="J11" i="4"/>
  <c r="I11" i="4"/>
  <c r="J33" i="4"/>
  <c r="AV32" i="4" s="1"/>
  <c r="I33" i="4"/>
  <c r="H10" i="4"/>
  <c r="G10" i="4"/>
  <c r="R33" i="4" l="1"/>
  <c r="I54" i="4"/>
  <c r="I76" i="4"/>
  <c r="J54" i="4"/>
  <c r="J76" i="4"/>
  <c r="G52" i="4"/>
  <c r="G74" i="4"/>
  <c r="I53" i="4"/>
  <c r="I75" i="4"/>
  <c r="H52" i="4"/>
  <c r="H74" i="4"/>
  <c r="J53" i="4"/>
  <c r="J75" i="4"/>
  <c r="H9" i="4"/>
  <c r="H73" i="4" s="1"/>
  <c r="G9" i="4"/>
  <c r="G73" i="4" s="1"/>
  <c r="H51" i="4" l="1"/>
  <c r="AD58" i="4"/>
  <c r="G51" i="4"/>
  <c r="AC13" i="4"/>
  <c r="AC58" i="4" s="1"/>
  <c r="AC12" i="4"/>
  <c r="H8" i="4"/>
  <c r="G8" i="4"/>
  <c r="G50" i="4" l="1"/>
  <c r="G72" i="4"/>
  <c r="H50" i="4"/>
  <c r="H72" i="4"/>
  <c r="AC14" i="4"/>
  <c r="H7" i="4"/>
  <c r="G7" i="4"/>
  <c r="G49" i="4" l="1"/>
  <c r="G71" i="4"/>
  <c r="H49" i="4"/>
  <c r="H71" i="4"/>
  <c r="H6" i="4"/>
  <c r="G6" i="4"/>
  <c r="H48" i="4" l="1"/>
  <c r="H70" i="4"/>
  <c r="G48" i="4"/>
  <c r="G70" i="4"/>
  <c r="H5" i="4"/>
  <c r="G5" i="4"/>
  <c r="G69" i="4" l="1"/>
  <c r="G15" i="4"/>
  <c r="AC59" i="4" s="1"/>
  <c r="G14" i="4"/>
  <c r="H69" i="4"/>
  <c r="H14" i="4"/>
  <c r="H15" i="4"/>
  <c r="AD59" i="4" s="1"/>
  <c r="H47" i="4"/>
  <c r="G47" i="4"/>
  <c r="E10" i="4"/>
  <c r="F10" i="4"/>
  <c r="G56" i="4" l="1"/>
  <c r="AC60" i="4" s="1"/>
  <c r="G57" i="4"/>
  <c r="G58" i="4" s="1"/>
  <c r="H56" i="4"/>
  <c r="AD60" i="4" s="1"/>
  <c r="H57" i="4"/>
  <c r="H58" i="4" s="1"/>
  <c r="G60" i="4"/>
  <c r="G16" i="4"/>
  <c r="H79" i="4"/>
  <c r="H80" i="4" s="1"/>
  <c r="H78" i="4"/>
  <c r="H16" i="4"/>
  <c r="H60" i="4"/>
  <c r="G78" i="4"/>
  <c r="G79" i="4"/>
  <c r="G80" i="4" s="1"/>
  <c r="F52" i="4"/>
  <c r="F74" i="4"/>
  <c r="E52" i="4"/>
  <c r="E74" i="4"/>
  <c r="J10" i="4"/>
  <c r="I10" i="4"/>
  <c r="F9" i="4"/>
  <c r="E9" i="4"/>
  <c r="H59" i="4" l="1"/>
  <c r="H61" i="4"/>
  <c r="G59" i="4"/>
  <c r="G61" i="4"/>
  <c r="I9" i="4"/>
  <c r="I73" i="4" s="1"/>
  <c r="E73" i="4"/>
  <c r="J9" i="4"/>
  <c r="F73" i="4"/>
  <c r="AB13" i="4"/>
  <c r="AB58" i="4" s="1"/>
  <c r="AB12" i="4"/>
  <c r="AA14" i="4"/>
  <c r="AA12" i="4"/>
  <c r="E51" i="4"/>
  <c r="F51" i="4"/>
  <c r="I31" i="4"/>
  <c r="J31" i="4"/>
  <c r="AV30" i="4" s="1"/>
  <c r="F8" i="4"/>
  <c r="E8" i="4"/>
  <c r="R31" i="4" l="1"/>
  <c r="J73" i="4"/>
  <c r="I52" i="4"/>
  <c r="I74" i="4"/>
  <c r="J52" i="4"/>
  <c r="J74" i="4"/>
  <c r="E50" i="4"/>
  <c r="E72" i="4"/>
  <c r="F50" i="4"/>
  <c r="F72" i="4"/>
  <c r="AB14" i="4"/>
  <c r="AF58" i="4"/>
  <c r="AE12" i="4"/>
  <c r="AE58" i="4"/>
  <c r="J8" i="4"/>
  <c r="I8" i="4"/>
  <c r="I51" i="4"/>
  <c r="J51" i="4"/>
  <c r="F7" i="4"/>
  <c r="E7" i="4"/>
  <c r="E49" i="4" l="1"/>
  <c r="E71" i="4"/>
  <c r="F49" i="4"/>
  <c r="F71" i="4"/>
  <c r="AE14" i="4"/>
  <c r="J7" i="4"/>
  <c r="I7" i="4"/>
  <c r="J29" i="4"/>
  <c r="AV28" i="4" s="1"/>
  <c r="I29" i="4"/>
  <c r="F6" i="4"/>
  <c r="E6" i="4"/>
  <c r="R29" i="4" l="1"/>
  <c r="E70" i="4"/>
  <c r="E48" i="4"/>
  <c r="F48" i="4"/>
  <c r="F70" i="4"/>
  <c r="I50" i="4"/>
  <c r="I72" i="4"/>
  <c r="J50" i="4"/>
  <c r="J72" i="4"/>
  <c r="I28" i="4"/>
  <c r="J28" i="4"/>
  <c r="AV27" i="4" s="1"/>
  <c r="I6" i="4"/>
  <c r="J6" i="4"/>
  <c r="F5" i="4"/>
  <c r="E5" i="4"/>
  <c r="R28" i="4" l="1"/>
  <c r="E15" i="4"/>
  <c r="E60" i="4" s="1"/>
  <c r="E14" i="4"/>
  <c r="F69" i="4"/>
  <c r="F14" i="4"/>
  <c r="F15" i="4"/>
  <c r="AB59" i="4" s="1"/>
  <c r="E69" i="4"/>
  <c r="E47" i="4"/>
  <c r="I49" i="4"/>
  <c r="I71" i="4"/>
  <c r="J49" i="4"/>
  <c r="J71" i="4"/>
  <c r="I5" i="4"/>
  <c r="D15" i="4"/>
  <c r="D16" i="4" s="1"/>
  <c r="F47" i="4"/>
  <c r="J27" i="4"/>
  <c r="AV26" i="4" s="1"/>
  <c r="I27" i="4"/>
  <c r="J5" i="4"/>
  <c r="J15" i="4" l="1"/>
  <c r="J17" i="4" s="1"/>
  <c r="AW35" i="4"/>
  <c r="AW36" i="4" s="1"/>
  <c r="AW34" i="4"/>
  <c r="AV34" i="4"/>
  <c r="AV35" i="4"/>
  <c r="AV36" i="4" s="1"/>
  <c r="J47" i="4"/>
  <c r="J35" i="4"/>
  <c r="J36" i="4"/>
  <c r="J38" i="4" s="1"/>
  <c r="R27" i="4"/>
  <c r="R40" i="4" s="1"/>
  <c r="E57" i="4"/>
  <c r="E58" i="4" s="1"/>
  <c r="E56" i="4"/>
  <c r="F57" i="4"/>
  <c r="F58" i="4" s="1"/>
  <c r="F56" i="4"/>
  <c r="AA59" i="4"/>
  <c r="E78" i="4"/>
  <c r="E79" i="4"/>
  <c r="E80" i="4" s="1"/>
  <c r="F60" i="4"/>
  <c r="F16" i="4"/>
  <c r="F78" i="4"/>
  <c r="F79" i="4"/>
  <c r="F80" i="4" s="1"/>
  <c r="I14" i="4"/>
  <c r="I15" i="4"/>
  <c r="AE59" i="4" s="1"/>
  <c r="E16" i="4"/>
  <c r="J48" i="4"/>
  <c r="J70" i="4"/>
  <c r="I48" i="4"/>
  <c r="I70" i="4"/>
  <c r="D57" i="4"/>
  <c r="D58" i="4" s="1"/>
  <c r="J69" i="4"/>
  <c r="D56" i="4"/>
  <c r="Q13" i="4"/>
  <c r="I26" i="4"/>
  <c r="I69" i="4" s="1"/>
  <c r="P12" i="4"/>
  <c r="O12" i="4"/>
  <c r="O54" i="4" s="1"/>
  <c r="J39" i="4" l="1"/>
  <c r="AF59" i="4"/>
  <c r="J16" i="4"/>
  <c r="F61" i="4"/>
  <c r="R36" i="4"/>
  <c r="R37" i="4" s="1"/>
  <c r="R35" i="4"/>
  <c r="E61" i="4"/>
  <c r="E59" i="4"/>
  <c r="AA60" i="4"/>
  <c r="F59" i="4"/>
  <c r="AB60" i="4"/>
  <c r="J78" i="4"/>
  <c r="J79" i="4"/>
  <c r="J80" i="4" s="1"/>
  <c r="I60" i="4"/>
  <c r="I16" i="4"/>
  <c r="J60" i="4"/>
  <c r="I79" i="4"/>
  <c r="I80" i="4" s="1"/>
  <c r="I78" i="4"/>
  <c r="P54" i="4"/>
  <c r="P76" i="4"/>
  <c r="Q55" i="4"/>
  <c r="Q77" i="4"/>
  <c r="O76" i="4"/>
  <c r="I47" i="4"/>
  <c r="I35" i="4"/>
  <c r="I36" i="4"/>
  <c r="I37" i="4" s="1"/>
  <c r="J37" i="4"/>
  <c r="Q12" i="4"/>
  <c r="Q11" i="4"/>
  <c r="AW12" i="4" l="1"/>
  <c r="AV12" i="4"/>
  <c r="AW11" i="4"/>
  <c r="AV11" i="4"/>
  <c r="R11" i="4"/>
  <c r="R12" i="4"/>
  <c r="J57" i="4"/>
  <c r="J58" i="4" s="1"/>
  <c r="J56" i="4"/>
  <c r="AF60" i="4" s="1"/>
  <c r="I56" i="4"/>
  <c r="AE60" i="4" s="1"/>
  <c r="I57" i="4"/>
  <c r="I58" i="4" s="1"/>
  <c r="Q53" i="4"/>
  <c r="Q75" i="4"/>
  <c r="Q54" i="4"/>
  <c r="Q76" i="4"/>
  <c r="P10" i="4"/>
  <c r="O10" i="4"/>
  <c r="I61" i="4" l="1"/>
  <c r="J61" i="4"/>
  <c r="O74" i="4"/>
  <c r="O52" i="4"/>
  <c r="I59" i="4"/>
  <c r="J59" i="4"/>
  <c r="P52" i="4"/>
  <c r="P74" i="4"/>
  <c r="Q10" i="4"/>
  <c r="O51" i="4"/>
  <c r="AV10" i="4" l="1"/>
  <c r="AW10" i="4"/>
  <c r="R10" i="4"/>
  <c r="Q52" i="4"/>
  <c r="Q74" i="4"/>
  <c r="O73" i="4"/>
  <c r="P51" i="4"/>
  <c r="P73" i="4"/>
  <c r="Q9" i="4"/>
  <c r="O50" i="4"/>
  <c r="AV9" i="4" l="1"/>
  <c r="AW9" i="4"/>
  <c r="R9" i="4"/>
  <c r="P50" i="4"/>
  <c r="P72" i="4"/>
  <c r="Q51" i="4"/>
  <c r="Q73" i="4"/>
  <c r="O72" i="4"/>
  <c r="Q8" i="4"/>
  <c r="AW8" i="4" l="1"/>
  <c r="AV8" i="4"/>
  <c r="R8" i="4"/>
  <c r="P49" i="4"/>
  <c r="P71" i="4"/>
  <c r="Q50" i="4"/>
  <c r="Q72" i="4"/>
  <c r="O71" i="4"/>
  <c r="Q7" i="4"/>
  <c r="P6" i="4"/>
  <c r="O6" i="4"/>
  <c r="O48" i="4" s="1"/>
  <c r="AV7" i="4" l="1"/>
  <c r="AW7" i="4"/>
  <c r="R7" i="4"/>
  <c r="P48" i="4"/>
  <c r="P70" i="4"/>
  <c r="Q49" i="4"/>
  <c r="Q71" i="4"/>
  <c r="O70" i="4"/>
  <c r="Q6" i="4"/>
  <c r="Z35" i="4"/>
  <c r="Z33" i="4"/>
  <c r="AW14" i="4" l="1"/>
  <c r="AW15" i="4"/>
  <c r="AW16" i="4" s="1"/>
  <c r="AV6" i="4"/>
  <c r="AW6" i="4"/>
  <c r="AV15" i="4"/>
  <c r="AV16" i="4" s="1"/>
  <c r="R6" i="4"/>
  <c r="Q48" i="4"/>
  <c r="Q70" i="4"/>
  <c r="D37" i="4"/>
  <c r="N36" i="4"/>
  <c r="N37" i="4" s="1"/>
  <c r="N35" i="4"/>
  <c r="P5" i="4"/>
  <c r="Q5" i="4" s="1"/>
  <c r="O14" i="4"/>
  <c r="AV5" i="4" l="1"/>
  <c r="AW5" i="4"/>
  <c r="R5" i="4"/>
  <c r="R19" i="4" s="1"/>
  <c r="Q15" i="4"/>
  <c r="Q17" i="4" s="1"/>
  <c r="Q14" i="4"/>
  <c r="O15" i="4"/>
  <c r="P14" i="4"/>
  <c r="P15" i="4"/>
  <c r="O47" i="4"/>
  <c r="O57" i="4" s="1"/>
  <c r="O58" i="4" s="1"/>
  <c r="O69" i="4"/>
  <c r="P47" i="4"/>
  <c r="P56" i="4" s="1"/>
  <c r="P69" i="4"/>
  <c r="N15" i="4"/>
  <c r="N16" i="4" s="1"/>
  <c r="N14" i="4"/>
  <c r="Q18" i="4" l="1"/>
  <c r="R14" i="4"/>
  <c r="R15" i="4"/>
  <c r="R16" i="4" s="1"/>
  <c r="Q16" i="4"/>
  <c r="P57" i="4"/>
  <c r="P58" i="4" s="1"/>
  <c r="AL59" i="4"/>
  <c r="P60" i="4"/>
  <c r="P61" i="4" s="1"/>
  <c r="AK59" i="4"/>
  <c r="O60" i="4"/>
  <c r="P16" i="4"/>
  <c r="P59" i="4"/>
  <c r="O16" i="4"/>
  <c r="Q47" i="4"/>
  <c r="Q57" i="4" s="1"/>
  <c r="Q58" i="4" s="1"/>
  <c r="Q69" i="4"/>
  <c r="P79" i="4"/>
  <c r="P80" i="4" s="1"/>
  <c r="P78" i="4"/>
  <c r="O56" i="4"/>
  <c r="O79" i="4"/>
  <c r="O80" i="4" s="1"/>
  <c r="O78" i="4"/>
  <c r="C26" i="1"/>
  <c r="Z13" i="4"/>
  <c r="Z14" i="4" s="1"/>
  <c r="AL60" i="4" l="1"/>
  <c r="O59" i="4"/>
  <c r="O61" i="4"/>
  <c r="AK60" i="4"/>
  <c r="AM59" i="4"/>
  <c r="Q60" i="4"/>
  <c r="Q56" i="4"/>
  <c r="Q79" i="4"/>
  <c r="Q80" i="4" s="1"/>
  <c r="Q78" i="4"/>
  <c r="AU10" i="1"/>
  <c r="Q59" i="4" l="1"/>
  <c r="Q61" i="4"/>
  <c r="AM60" i="4"/>
  <c r="AU100" i="1"/>
  <c r="AV81" i="1"/>
  <c r="AW81" i="1"/>
  <c r="AW80" i="1"/>
  <c r="AV80" i="1"/>
  <c r="AU80" i="1"/>
  <c r="AU81" i="1" s="1"/>
  <c r="W55" i="1" l="1"/>
  <c r="X55" i="1"/>
  <c r="Y55" i="1"/>
  <c r="Z55" i="1"/>
  <c r="V55" i="1"/>
  <c r="AW19" i="1"/>
  <c r="AW16" i="1"/>
  <c r="AO101" i="1"/>
  <c r="AO102" i="1" l="1"/>
  <c r="AO78" i="1"/>
  <c r="AV17" i="1"/>
  <c r="AU17" i="1"/>
  <c r="AT17" i="1"/>
  <c r="BB16" i="1"/>
  <c r="BC16" i="1"/>
  <c r="BD16" i="1"/>
  <c r="BB17" i="1"/>
  <c r="BB18" i="1" s="1"/>
  <c r="BC17" i="1"/>
  <c r="BD17" i="1"/>
  <c r="BC18" i="1"/>
  <c r="BD18" i="1"/>
  <c r="BA18" i="1"/>
  <c r="BA17" i="1"/>
  <c r="BA16" i="1"/>
  <c r="BE18" i="1"/>
  <c r="BE17" i="1"/>
  <c r="BE16" i="1"/>
  <c r="E81" i="1" l="1"/>
  <c r="D81" i="1"/>
  <c r="AA97" i="1"/>
  <c r="AA98" i="1"/>
  <c r="AA99" i="1"/>
  <c r="AA78" i="1"/>
  <c r="AA79" i="1"/>
  <c r="AA80" i="1"/>
  <c r="AA75" i="1"/>
  <c r="AA74" i="1"/>
  <c r="AA94" i="1"/>
  <c r="AA93" i="1"/>
  <c r="AA73" i="1"/>
  <c r="AA72" i="1"/>
  <c r="AA70" i="1"/>
  <c r="AA69" i="1"/>
  <c r="AA92" i="1"/>
  <c r="AA91" i="1"/>
  <c r="AA90" i="1"/>
  <c r="AA89" i="1"/>
  <c r="AA88" i="1"/>
  <c r="E96" i="1"/>
  <c r="E95" i="1"/>
  <c r="E94" i="1"/>
  <c r="E93" i="1"/>
  <c r="E92" i="1"/>
  <c r="E91" i="1"/>
  <c r="E90" i="1"/>
  <c r="E89" i="1"/>
  <c r="E98" i="1" s="1"/>
  <c r="E99" i="1" s="1"/>
  <c r="E88" i="1"/>
  <c r="E79" i="1"/>
  <c r="E80" i="1" s="1"/>
  <c r="E78" i="1"/>
  <c r="E77" i="1"/>
  <c r="E71" i="1"/>
  <c r="E72" i="1"/>
  <c r="E73" i="1"/>
  <c r="E74" i="1"/>
  <c r="E75" i="1"/>
  <c r="E76" i="1"/>
  <c r="E70" i="1"/>
  <c r="E69" i="1"/>
  <c r="E97" i="1" l="1"/>
  <c r="AU16" i="1"/>
  <c r="AV73" i="1"/>
  <c r="AT77" i="1"/>
  <c r="AT78" i="1" s="1"/>
  <c r="AU97" i="1"/>
  <c r="AV97" i="1"/>
  <c r="AW97" i="1"/>
  <c r="AU98" i="1"/>
  <c r="AU99" i="1" s="1"/>
  <c r="AV98" i="1"/>
  <c r="AW98" i="1"/>
  <c r="AW99" i="1" s="1"/>
  <c r="AV99" i="1"/>
  <c r="AT7" i="1"/>
  <c r="D101" i="1"/>
  <c r="AU76" i="1"/>
  <c r="AV76" i="1"/>
  <c r="AW76" i="1"/>
  <c r="AU77" i="1"/>
  <c r="AU78" i="1" s="1"/>
  <c r="AV77" i="1"/>
  <c r="AW77" i="1"/>
  <c r="AW78" i="1" s="1"/>
  <c r="AV78" i="1"/>
  <c r="AQ79" i="1"/>
  <c r="AQ80" i="1" s="1"/>
  <c r="AQ78" i="1"/>
  <c r="AT95" i="1"/>
  <c r="AU95" i="1"/>
  <c r="AV95" i="1"/>
  <c r="AW95" i="1"/>
  <c r="AU96" i="1"/>
  <c r="AV96" i="1"/>
  <c r="AW96" i="1"/>
  <c r="AT88" i="1"/>
  <c r="AU88" i="1"/>
  <c r="AV88" i="1"/>
  <c r="AW88" i="1"/>
  <c r="AT89" i="1"/>
  <c r="AU89" i="1"/>
  <c r="AV89" i="1"/>
  <c r="AW89" i="1"/>
  <c r="AT90" i="1"/>
  <c r="AU90" i="1"/>
  <c r="AV90" i="1"/>
  <c r="AW90" i="1"/>
  <c r="AT91" i="1"/>
  <c r="AU91" i="1"/>
  <c r="AV91" i="1"/>
  <c r="AW91" i="1"/>
  <c r="AT92" i="1"/>
  <c r="AU92" i="1"/>
  <c r="AV92" i="1"/>
  <c r="AW92" i="1"/>
  <c r="AT93" i="1"/>
  <c r="AU93" i="1"/>
  <c r="AV93" i="1"/>
  <c r="AW93" i="1"/>
  <c r="AT94" i="1"/>
  <c r="AU94" i="1"/>
  <c r="AV94" i="1"/>
  <c r="AW94" i="1"/>
  <c r="AW87" i="1"/>
  <c r="AV87" i="1"/>
  <c r="AU87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W73" i="1"/>
  <c r="AU74" i="1"/>
  <c r="AV74" i="1"/>
  <c r="AW74" i="1"/>
  <c r="AU75" i="1"/>
  <c r="AV75" i="1"/>
  <c r="AW75" i="1"/>
  <c r="AW68" i="1"/>
  <c r="AV68" i="1"/>
  <c r="AU68" i="1"/>
  <c r="AT70" i="1"/>
  <c r="AT71" i="1"/>
  <c r="AT72" i="1"/>
  <c r="AT73" i="1"/>
  <c r="AT74" i="1"/>
  <c r="AT75" i="1"/>
  <c r="F81" i="1" l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C81" i="1"/>
  <c r="AV19" i="1" l="1"/>
  <c r="AX19" i="1"/>
  <c r="BA6" i="1"/>
  <c r="BA7" i="1"/>
  <c r="AT19" i="1" s="1"/>
  <c r="BA8" i="1"/>
  <c r="BA9" i="1"/>
  <c r="BA10" i="1"/>
  <c r="BA11" i="1"/>
  <c r="BA12" i="1"/>
  <c r="BA13" i="1"/>
  <c r="AT6" i="1"/>
  <c r="AT8" i="1"/>
  <c r="AT9" i="1"/>
  <c r="AT27" i="1" s="1"/>
  <c r="AT10" i="1"/>
  <c r="AT11" i="1"/>
  <c r="AT12" i="1"/>
  <c r="AT28" i="1" s="1"/>
  <c r="AT13" i="1"/>
  <c r="AT29" i="1" s="1"/>
  <c r="AT14" i="1"/>
  <c r="AT15" i="1"/>
  <c r="AT18" i="1"/>
  <c r="AT25" i="1"/>
  <c r="AT26" i="1"/>
  <c r="AQ101" i="1"/>
  <c r="AV26" i="1"/>
  <c r="AW26" i="1"/>
  <c r="AX26" i="1"/>
  <c r="AV27" i="1"/>
  <c r="AW27" i="1"/>
  <c r="AX27" i="1"/>
  <c r="AV28" i="1"/>
  <c r="AW28" i="1"/>
  <c r="AX28" i="1"/>
  <c r="AV29" i="1"/>
  <c r="AW29" i="1"/>
  <c r="AX29" i="1"/>
  <c r="AV25" i="1"/>
  <c r="AU25" i="1"/>
  <c r="AI25" i="1"/>
  <c r="AI26" i="1" s="1"/>
  <c r="AH25" i="1"/>
  <c r="AH26" i="1" s="1"/>
  <c r="AG25" i="1"/>
  <c r="AG26" i="1" s="1"/>
  <c r="AF25" i="1"/>
  <c r="AF26" i="1" s="1"/>
  <c r="AE25" i="1"/>
  <c r="AE26" i="1" s="1"/>
  <c r="AD25" i="1"/>
  <c r="AD26" i="1" s="1"/>
  <c r="AI24" i="1"/>
  <c r="AH24" i="1"/>
  <c r="AG24" i="1"/>
  <c r="AF24" i="1"/>
  <c r="AE24" i="1"/>
  <c r="AD24" i="1"/>
  <c r="AQ23" i="1"/>
  <c r="AK8" i="1"/>
  <c r="AK25" i="1" s="1"/>
  <c r="AK26" i="1" s="1"/>
  <c r="AL8" i="1"/>
  <c r="AL25" i="1" s="1"/>
  <c r="AL26" i="1" s="1"/>
  <c r="AM8" i="1"/>
  <c r="AN8" i="1"/>
  <c r="AO8" i="1"/>
  <c r="AO25" i="1" s="1"/>
  <c r="AO26" i="1" s="1"/>
  <c r="AP8" i="1"/>
  <c r="AP25" i="1" s="1"/>
  <c r="AP26" i="1" s="1"/>
  <c r="AQ8" i="1"/>
  <c r="AQ25" i="1" s="1"/>
  <c r="AQ26" i="1" s="1"/>
  <c r="AK9" i="1"/>
  <c r="AL9" i="1"/>
  <c r="AM9" i="1"/>
  <c r="AM24" i="1" s="1"/>
  <c r="AN9" i="1"/>
  <c r="AO9" i="1"/>
  <c r="AP9" i="1"/>
  <c r="AQ9" i="1"/>
  <c r="AQ24" i="1" s="1"/>
  <c r="AK10" i="1"/>
  <c r="AL10" i="1"/>
  <c r="AM10" i="1"/>
  <c r="AN10" i="1"/>
  <c r="AN25" i="1" s="1"/>
  <c r="AN26" i="1" s="1"/>
  <c r="AO10" i="1"/>
  <c r="AP10" i="1"/>
  <c r="AQ10" i="1"/>
  <c r="AK11" i="1"/>
  <c r="AL11" i="1"/>
  <c r="AM11" i="1"/>
  <c r="AN11" i="1"/>
  <c r="AO11" i="1"/>
  <c r="AP11" i="1"/>
  <c r="AQ11" i="1"/>
  <c r="AK12" i="1"/>
  <c r="AL12" i="1"/>
  <c r="AM12" i="1"/>
  <c r="AN12" i="1"/>
  <c r="AO12" i="1"/>
  <c r="AP12" i="1"/>
  <c r="AQ12" i="1"/>
  <c r="AK13" i="1"/>
  <c r="AL13" i="1"/>
  <c r="AM13" i="1"/>
  <c r="AN13" i="1"/>
  <c r="AO13" i="1"/>
  <c r="AP13" i="1"/>
  <c r="AQ13" i="1"/>
  <c r="AK14" i="1"/>
  <c r="AL14" i="1"/>
  <c r="AM14" i="1"/>
  <c r="AN14" i="1"/>
  <c r="AO14" i="1"/>
  <c r="AP14" i="1"/>
  <c r="AQ14" i="1"/>
  <c r="AK15" i="1"/>
  <c r="AM15" i="1"/>
  <c r="AN15" i="1"/>
  <c r="AO15" i="1"/>
  <c r="AP15" i="1"/>
  <c r="AQ15" i="1"/>
  <c r="AK16" i="1"/>
  <c r="AL16" i="1"/>
  <c r="AM16" i="1"/>
  <c r="AN16" i="1"/>
  <c r="AO16" i="1"/>
  <c r="AP16" i="1"/>
  <c r="AQ16" i="1"/>
  <c r="AK17" i="1"/>
  <c r="AL17" i="1"/>
  <c r="AM17" i="1"/>
  <c r="AN17" i="1"/>
  <c r="AO17" i="1"/>
  <c r="AP17" i="1"/>
  <c r="AQ17" i="1"/>
  <c r="AK18" i="1"/>
  <c r="AL18" i="1"/>
  <c r="AM18" i="1"/>
  <c r="AN18" i="1"/>
  <c r="AO18" i="1"/>
  <c r="AP18" i="1"/>
  <c r="AQ18" i="1"/>
  <c r="AK19" i="1"/>
  <c r="AL19" i="1"/>
  <c r="AM19" i="1"/>
  <c r="AN19" i="1"/>
  <c r="AO19" i="1"/>
  <c r="AP19" i="1"/>
  <c r="AQ19" i="1"/>
  <c r="AK20" i="1"/>
  <c r="AL20" i="1"/>
  <c r="AM20" i="1"/>
  <c r="AN20" i="1"/>
  <c r="AO20" i="1"/>
  <c r="AP20" i="1"/>
  <c r="AQ20" i="1"/>
  <c r="AK21" i="1"/>
  <c r="AL21" i="1"/>
  <c r="AM21" i="1"/>
  <c r="AN21" i="1"/>
  <c r="AO21" i="1"/>
  <c r="AP21" i="1"/>
  <c r="AQ21" i="1"/>
  <c r="AK22" i="1"/>
  <c r="AL22" i="1"/>
  <c r="AM22" i="1"/>
  <c r="AN22" i="1"/>
  <c r="AO22" i="1"/>
  <c r="AP22" i="1"/>
  <c r="AQ22" i="1"/>
  <c r="AK23" i="1"/>
  <c r="AL23" i="1"/>
  <c r="AM23" i="1"/>
  <c r="AN23" i="1"/>
  <c r="AO23" i="1"/>
  <c r="AP23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8" i="1"/>
  <c r="AJ25" i="1" s="1"/>
  <c r="AJ26" i="1" s="1"/>
  <c r="AI23" i="1"/>
  <c r="AE8" i="1"/>
  <c r="AF8" i="1"/>
  <c r="AG8" i="1"/>
  <c r="AH8" i="1"/>
  <c r="AI8" i="1"/>
  <c r="AE9" i="1"/>
  <c r="AF9" i="1"/>
  <c r="AG9" i="1"/>
  <c r="AH9" i="1"/>
  <c r="AI9" i="1"/>
  <c r="AE10" i="1"/>
  <c r="AF10" i="1"/>
  <c r="AG10" i="1"/>
  <c r="AH10" i="1"/>
  <c r="AI10" i="1"/>
  <c r="AE11" i="1"/>
  <c r="AF11" i="1"/>
  <c r="AG11" i="1"/>
  <c r="AH11" i="1"/>
  <c r="AI11" i="1"/>
  <c r="AE12" i="1"/>
  <c r="AF12" i="1"/>
  <c r="AG12" i="1"/>
  <c r="AH12" i="1"/>
  <c r="AI12" i="1"/>
  <c r="AE13" i="1"/>
  <c r="AF13" i="1"/>
  <c r="AG13" i="1"/>
  <c r="AH13" i="1"/>
  <c r="AI13" i="1"/>
  <c r="AE14" i="1"/>
  <c r="AF14" i="1"/>
  <c r="AG14" i="1"/>
  <c r="AH14" i="1"/>
  <c r="AI14" i="1"/>
  <c r="AE15" i="1"/>
  <c r="AF15" i="1"/>
  <c r="AG15" i="1"/>
  <c r="AH15" i="1"/>
  <c r="AI15" i="1"/>
  <c r="AE16" i="1"/>
  <c r="AF16" i="1"/>
  <c r="AG16" i="1"/>
  <c r="AH16" i="1"/>
  <c r="AI16" i="1"/>
  <c r="AE17" i="1"/>
  <c r="AF17" i="1"/>
  <c r="AG17" i="1"/>
  <c r="AH17" i="1"/>
  <c r="AI17" i="1"/>
  <c r="AE18" i="1"/>
  <c r="AF18" i="1"/>
  <c r="AG18" i="1"/>
  <c r="AH18" i="1"/>
  <c r="AI18" i="1"/>
  <c r="AE19" i="1"/>
  <c r="AF19" i="1"/>
  <c r="AG19" i="1"/>
  <c r="AH19" i="1"/>
  <c r="AI19" i="1"/>
  <c r="AE20" i="1"/>
  <c r="AF20" i="1"/>
  <c r="AG20" i="1"/>
  <c r="AH20" i="1"/>
  <c r="AI20" i="1"/>
  <c r="AE21" i="1"/>
  <c r="AF21" i="1"/>
  <c r="AG21" i="1"/>
  <c r="AH21" i="1"/>
  <c r="AI21" i="1"/>
  <c r="AE22" i="1"/>
  <c r="AF22" i="1"/>
  <c r="AG22" i="1"/>
  <c r="AH22" i="1"/>
  <c r="AI22" i="1"/>
  <c r="AE23" i="1"/>
  <c r="AF23" i="1"/>
  <c r="AG23" i="1"/>
  <c r="AH23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8" i="1"/>
  <c r="Y97" i="1"/>
  <c r="AU7" i="1"/>
  <c r="AM25" i="1" l="1"/>
  <c r="AM26" i="1" s="1"/>
  <c r="AK24" i="1"/>
  <c r="AO24" i="1"/>
  <c r="AP24" i="1"/>
  <c r="AJ24" i="1"/>
  <c r="AN24" i="1"/>
  <c r="AL24" i="1"/>
  <c r="AT16" i="1"/>
  <c r="AX15" i="1"/>
  <c r="AX8" i="1"/>
  <c r="AX9" i="1"/>
  <c r="AX10" i="1"/>
  <c r="AX11" i="1"/>
  <c r="AX12" i="1"/>
  <c r="AX13" i="1"/>
  <c r="AX14" i="1"/>
  <c r="AX7" i="1"/>
  <c r="BB7" i="1"/>
  <c r="BC7" i="1"/>
  <c r="BD7" i="1"/>
  <c r="BE8" i="1"/>
  <c r="BE9" i="1"/>
  <c r="BE10" i="1"/>
  <c r="BE11" i="1"/>
  <c r="BE12" i="1"/>
  <c r="BE13" i="1"/>
  <c r="BE7" i="1"/>
  <c r="BB8" i="1"/>
  <c r="BB9" i="1"/>
  <c r="BB10" i="1"/>
  <c r="BB11" i="1"/>
  <c r="BB12" i="1"/>
  <c r="BB13" i="1"/>
  <c r="BC13" i="1"/>
  <c r="BC12" i="1"/>
  <c r="BC11" i="1"/>
  <c r="BC10" i="1"/>
  <c r="BC9" i="1"/>
  <c r="BC8" i="1"/>
  <c r="AV6" i="1"/>
  <c r="BC6" i="1" s="1"/>
  <c r="AU6" i="1"/>
  <c r="AU9" i="1"/>
  <c r="AU11" i="1"/>
  <c r="AU12" i="1"/>
  <c r="AU13" i="1"/>
  <c r="AU14" i="1"/>
  <c r="AU15" i="1"/>
  <c r="AV7" i="1"/>
  <c r="AV15" i="1"/>
  <c r="AV14" i="1"/>
  <c r="AV13" i="1"/>
  <c r="AV12" i="1"/>
  <c r="AV11" i="1"/>
  <c r="AV10" i="1"/>
  <c r="AV9" i="1"/>
  <c r="AV8" i="1"/>
  <c r="AV16" i="1"/>
  <c r="AW15" i="1"/>
  <c r="AW11" i="1"/>
  <c r="AW7" i="1"/>
  <c r="BD12" i="1"/>
  <c r="AO73" i="1"/>
  <c r="BD11" i="1" s="1"/>
  <c r="U88" i="1"/>
  <c r="U89" i="1"/>
  <c r="U90" i="1"/>
  <c r="U91" i="1"/>
  <c r="U92" i="1"/>
  <c r="U93" i="1"/>
  <c r="U94" i="1"/>
  <c r="U95" i="1"/>
  <c r="U96" i="1"/>
  <c r="U69" i="1"/>
  <c r="U70" i="1"/>
  <c r="U71" i="1"/>
  <c r="U78" i="1" s="1"/>
  <c r="U72" i="1"/>
  <c r="U73" i="1"/>
  <c r="U74" i="1"/>
  <c r="U75" i="1"/>
  <c r="U76" i="1"/>
  <c r="U77" i="1"/>
  <c r="S88" i="1"/>
  <c r="T88" i="1"/>
  <c r="S89" i="1"/>
  <c r="T89" i="1" s="1"/>
  <c r="S90" i="1"/>
  <c r="AW9" i="1" s="1"/>
  <c r="T90" i="1"/>
  <c r="S91" i="1"/>
  <c r="AW10" i="1" s="1"/>
  <c r="S92" i="1"/>
  <c r="T92" i="1"/>
  <c r="S93" i="1"/>
  <c r="T93" i="1" s="1"/>
  <c r="S94" i="1"/>
  <c r="T94" i="1" s="1"/>
  <c r="S95" i="1"/>
  <c r="T95" i="1" s="1"/>
  <c r="S96" i="1"/>
  <c r="T96" i="1"/>
  <c r="S69" i="1"/>
  <c r="T69" i="1"/>
  <c r="S70" i="1"/>
  <c r="S71" i="1"/>
  <c r="T71" i="1" s="1"/>
  <c r="S72" i="1"/>
  <c r="T72" i="1" s="1"/>
  <c r="S73" i="1"/>
  <c r="T73" i="1"/>
  <c r="S74" i="1"/>
  <c r="T74" i="1" s="1"/>
  <c r="S75" i="1"/>
  <c r="T75" i="1"/>
  <c r="S76" i="1"/>
  <c r="T76" i="1" s="1"/>
  <c r="S77" i="1"/>
  <c r="T77" i="1"/>
  <c r="R88" i="1"/>
  <c r="R89" i="1"/>
  <c r="R90" i="1"/>
  <c r="R91" i="1"/>
  <c r="R92" i="1"/>
  <c r="R93" i="1"/>
  <c r="R94" i="1"/>
  <c r="R95" i="1"/>
  <c r="R96" i="1"/>
  <c r="R69" i="1"/>
  <c r="R79" i="1" s="1"/>
  <c r="R80" i="1" s="1"/>
  <c r="R70" i="1"/>
  <c r="R71" i="1"/>
  <c r="R72" i="1"/>
  <c r="R73" i="1"/>
  <c r="R74" i="1"/>
  <c r="R75" i="1"/>
  <c r="R76" i="1"/>
  <c r="R77" i="1"/>
  <c r="Q97" i="1"/>
  <c r="Q78" i="1"/>
  <c r="P97" i="1"/>
  <c r="P78" i="1"/>
  <c r="O97" i="1"/>
  <c r="O78" i="1"/>
  <c r="N97" i="1"/>
  <c r="N78" i="1"/>
  <c r="N102" i="1" s="1"/>
  <c r="M97" i="1"/>
  <c r="M78" i="1"/>
  <c r="M102" i="1"/>
  <c r="L97" i="1"/>
  <c r="L78" i="1"/>
  <c r="K97" i="1"/>
  <c r="K78" i="1"/>
  <c r="J97" i="1"/>
  <c r="J102" i="1" s="1"/>
  <c r="J78" i="1"/>
  <c r="I97" i="1"/>
  <c r="I102" i="1" s="1"/>
  <c r="I78" i="1"/>
  <c r="H97" i="1"/>
  <c r="H78" i="1"/>
  <c r="G97" i="1"/>
  <c r="G78" i="1"/>
  <c r="F97" i="1"/>
  <c r="F102" i="1" s="1"/>
  <c r="F78" i="1"/>
  <c r="D97" i="1"/>
  <c r="D78" i="1"/>
  <c r="C97" i="1"/>
  <c r="C78" i="1"/>
  <c r="AQ88" i="1"/>
  <c r="AQ89" i="1"/>
  <c r="AQ90" i="1"/>
  <c r="AQ91" i="1"/>
  <c r="AQ92" i="1"/>
  <c r="AQ93" i="1"/>
  <c r="AQ94" i="1"/>
  <c r="AQ69" i="1"/>
  <c r="AQ70" i="1"/>
  <c r="AQ71" i="1"/>
  <c r="AQ72" i="1"/>
  <c r="AQ73" i="1"/>
  <c r="AQ74" i="1"/>
  <c r="AQ75" i="1"/>
  <c r="AO88" i="1"/>
  <c r="AO98" i="1" s="1"/>
  <c r="AO99" i="1" s="1"/>
  <c r="AO89" i="1"/>
  <c r="AP89" i="1"/>
  <c r="AO90" i="1"/>
  <c r="AP90" i="1" s="1"/>
  <c r="AO91" i="1"/>
  <c r="AP91" i="1" s="1"/>
  <c r="AO92" i="1"/>
  <c r="AP92" i="1" s="1"/>
  <c r="AO93" i="1"/>
  <c r="AP93" i="1"/>
  <c r="AO94" i="1"/>
  <c r="AP94" i="1" s="1"/>
  <c r="AO69" i="1"/>
  <c r="AP69" i="1"/>
  <c r="AO70" i="1"/>
  <c r="BD8" i="1" s="1"/>
  <c r="AO71" i="1"/>
  <c r="AP71" i="1"/>
  <c r="AO72" i="1"/>
  <c r="AP72" i="1" s="1"/>
  <c r="AP73" i="1"/>
  <c r="AO74" i="1"/>
  <c r="AP74" i="1"/>
  <c r="AO75" i="1"/>
  <c r="AP75" i="1"/>
  <c r="AN88" i="1"/>
  <c r="AN89" i="1"/>
  <c r="AN90" i="1"/>
  <c r="AN91" i="1"/>
  <c r="AN92" i="1"/>
  <c r="AN93" i="1"/>
  <c r="AN94" i="1"/>
  <c r="AN69" i="1"/>
  <c r="AN70" i="1"/>
  <c r="AN71" i="1"/>
  <c r="AN72" i="1"/>
  <c r="AN73" i="1"/>
  <c r="AN74" i="1"/>
  <c r="AN75" i="1"/>
  <c r="AM97" i="1"/>
  <c r="AL97" i="1"/>
  <c r="AL78" i="1"/>
  <c r="AK97" i="1"/>
  <c r="AK78" i="1"/>
  <c r="AJ97" i="1"/>
  <c r="AJ78" i="1"/>
  <c r="AI97" i="1"/>
  <c r="AI78" i="1"/>
  <c r="AH97" i="1"/>
  <c r="AH78" i="1"/>
  <c r="AG97" i="1"/>
  <c r="AG78" i="1"/>
  <c r="AG102" i="1" s="1"/>
  <c r="AF97" i="1"/>
  <c r="AF102" i="1" s="1"/>
  <c r="AF78" i="1"/>
  <c r="AE97" i="1"/>
  <c r="AE78" i="1"/>
  <c r="AD97" i="1"/>
  <c r="AD102" i="1" s="1"/>
  <c r="AD78" i="1"/>
  <c r="AC97" i="1"/>
  <c r="AC78" i="1"/>
  <c r="AC102" i="1"/>
  <c r="AB97" i="1"/>
  <c r="AB78" i="1"/>
  <c r="AB102" i="1"/>
  <c r="Z97" i="1"/>
  <c r="Z78" i="1"/>
  <c r="Y78" i="1"/>
  <c r="Q101" i="1"/>
  <c r="P101" i="1"/>
  <c r="O101" i="1"/>
  <c r="N101" i="1"/>
  <c r="M101" i="1"/>
  <c r="L101" i="1"/>
  <c r="K101" i="1"/>
  <c r="I101" i="1"/>
  <c r="H101" i="1"/>
  <c r="G101" i="1"/>
  <c r="F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Z101" i="1"/>
  <c r="Y101" i="1"/>
  <c r="Q98" i="1"/>
  <c r="P98" i="1"/>
  <c r="P99" i="1" s="1"/>
  <c r="O98" i="1"/>
  <c r="O99" i="1" s="1"/>
  <c r="N98" i="1"/>
  <c r="N99" i="1" s="1"/>
  <c r="M98" i="1"/>
  <c r="M99" i="1" s="1"/>
  <c r="L98" i="1"/>
  <c r="L99" i="1"/>
  <c r="K98" i="1"/>
  <c r="K99" i="1" s="1"/>
  <c r="J98" i="1"/>
  <c r="J99" i="1" s="1"/>
  <c r="I98" i="1"/>
  <c r="I99" i="1" s="1"/>
  <c r="H98" i="1"/>
  <c r="H99" i="1"/>
  <c r="G98" i="1"/>
  <c r="G99" i="1" s="1"/>
  <c r="F98" i="1"/>
  <c r="F99" i="1" s="1"/>
  <c r="D98" i="1"/>
  <c r="C98" i="1"/>
  <c r="C99" i="1" s="1"/>
  <c r="AM98" i="1"/>
  <c r="AM99" i="1" s="1"/>
  <c r="AL98" i="1"/>
  <c r="AL99" i="1" s="1"/>
  <c r="AK98" i="1"/>
  <c r="AK99" i="1" s="1"/>
  <c r="AJ98" i="1"/>
  <c r="AJ99" i="1" s="1"/>
  <c r="AI98" i="1"/>
  <c r="AI99" i="1" s="1"/>
  <c r="AH98" i="1"/>
  <c r="AH99" i="1"/>
  <c r="AG98" i="1"/>
  <c r="AG99" i="1" s="1"/>
  <c r="AF98" i="1"/>
  <c r="AF99" i="1" s="1"/>
  <c r="AE98" i="1"/>
  <c r="AE99" i="1" s="1"/>
  <c r="AD98" i="1"/>
  <c r="AD99" i="1" s="1"/>
  <c r="AC98" i="1"/>
  <c r="AC99" i="1" s="1"/>
  <c r="AB98" i="1"/>
  <c r="AB99" i="1"/>
  <c r="Z98" i="1"/>
  <c r="Z99" i="1" s="1"/>
  <c r="Y98" i="1"/>
  <c r="Y99" i="1" s="1"/>
  <c r="U79" i="1"/>
  <c r="Q79" i="1"/>
  <c r="P79" i="1"/>
  <c r="P80" i="1" s="1"/>
  <c r="O79" i="1"/>
  <c r="O80" i="1" s="1"/>
  <c r="N79" i="1"/>
  <c r="N80" i="1" s="1"/>
  <c r="M79" i="1"/>
  <c r="M80" i="1" s="1"/>
  <c r="L79" i="1"/>
  <c r="L80" i="1" s="1"/>
  <c r="K79" i="1"/>
  <c r="K80" i="1" s="1"/>
  <c r="J79" i="1"/>
  <c r="J80" i="1" s="1"/>
  <c r="I79" i="1"/>
  <c r="I80" i="1" s="1"/>
  <c r="H79" i="1"/>
  <c r="H80" i="1" s="1"/>
  <c r="G79" i="1"/>
  <c r="G80" i="1" s="1"/>
  <c r="F79" i="1"/>
  <c r="F80" i="1" s="1"/>
  <c r="D79" i="1"/>
  <c r="C79" i="1"/>
  <c r="C80" i="1" s="1"/>
  <c r="AM80" i="1"/>
  <c r="AL79" i="1"/>
  <c r="AL80" i="1" s="1"/>
  <c r="AK79" i="1"/>
  <c r="AK80" i="1" s="1"/>
  <c r="AJ79" i="1"/>
  <c r="AJ80" i="1" s="1"/>
  <c r="AI79" i="1"/>
  <c r="AI80" i="1" s="1"/>
  <c r="AH79" i="1"/>
  <c r="AH80" i="1" s="1"/>
  <c r="AG79" i="1"/>
  <c r="AG80" i="1" s="1"/>
  <c r="AF79" i="1"/>
  <c r="AF80" i="1" s="1"/>
  <c r="AE79" i="1"/>
  <c r="AE80" i="1" s="1"/>
  <c r="AD79" i="1"/>
  <c r="AD80" i="1" s="1"/>
  <c r="AC79" i="1"/>
  <c r="AC80" i="1" s="1"/>
  <c r="AB79" i="1"/>
  <c r="AB80" i="1" s="1"/>
  <c r="Z79" i="1"/>
  <c r="Z80" i="1" s="1"/>
  <c r="Y79" i="1"/>
  <c r="Y80" i="1" s="1"/>
  <c r="O24" i="1"/>
  <c r="O52" i="1"/>
  <c r="M53" i="1"/>
  <c r="M54" i="1" s="1"/>
  <c r="M52" i="1"/>
  <c r="M25" i="1"/>
  <c r="M26" i="1" s="1"/>
  <c r="M24" i="1"/>
  <c r="L25" i="1"/>
  <c r="L26" i="1" s="1"/>
  <c r="J25" i="1"/>
  <c r="J26" i="1" s="1"/>
  <c r="L53" i="1"/>
  <c r="L54" i="1" s="1"/>
  <c r="J53" i="1"/>
  <c r="J54" i="1" s="1"/>
  <c r="L24" i="1"/>
  <c r="J24" i="1"/>
  <c r="L52" i="1"/>
  <c r="J52" i="1"/>
  <c r="G25" i="1"/>
  <c r="G26" i="1" s="1"/>
  <c r="D25" i="1"/>
  <c r="D26" i="1" s="1"/>
  <c r="W8" i="1"/>
  <c r="N52" i="1"/>
  <c r="N53" i="1"/>
  <c r="N54" i="1" s="1"/>
  <c r="W50" i="1"/>
  <c r="X50" i="1"/>
  <c r="Y50" i="1" s="1"/>
  <c r="Z50" i="1"/>
  <c r="X51" i="1"/>
  <c r="Y51" i="1"/>
  <c r="X49" i="1"/>
  <c r="Y49" i="1" s="1"/>
  <c r="X48" i="1"/>
  <c r="Y48" i="1" s="1"/>
  <c r="X47" i="1"/>
  <c r="Y47" i="1" s="1"/>
  <c r="X46" i="1"/>
  <c r="Y46" i="1" s="1"/>
  <c r="X45" i="1"/>
  <c r="Y45" i="1" s="1"/>
  <c r="X44" i="1"/>
  <c r="Y44" i="1"/>
  <c r="X43" i="1"/>
  <c r="Y43" i="1" s="1"/>
  <c r="X42" i="1"/>
  <c r="Y42" i="1" s="1"/>
  <c r="X41" i="1"/>
  <c r="Y41" i="1" s="1"/>
  <c r="X40" i="1"/>
  <c r="Y40" i="1" s="1"/>
  <c r="X39" i="1"/>
  <c r="Y39" i="1" s="1"/>
  <c r="X38" i="1"/>
  <c r="Y38" i="1" s="1"/>
  <c r="X23" i="1"/>
  <c r="Y23" i="1"/>
  <c r="X22" i="1"/>
  <c r="Y22" i="1" s="1"/>
  <c r="X21" i="1"/>
  <c r="Y21" i="1" s="1"/>
  <c r="X20" i="1"/>
  <c r="Y20" i="1" s="1"/>
  <c r="X19" i="1"/>
  <c r="Y19" i="1"/>
  <c r="X18" i="1"/>
  <c r="Y18" i="1" s="1"/>
  <c r="X17" i="1"/>
  <c r="Y17" i="1" s="1"/>
  <c r="X16" i="1"/>
  <c r="Y16" i="1" s="1"/>
  <c r="X15" i="1"/>
  <c r="Y15" i="1"/>
  <c r="X14" i="1"/>
  <c r="Y14" i="1" s="1"/>
  <c r="X13" i="1"/>
  <c r="Y13" i="1" s="1"/>
  <c r="X12" i="1"/>
  <c r="Y12" i="1" s="1"/>
  <c r="X11" i="1"/>
  <c r="Y11" i="1"/>
  <c r="X10" i="1"/>
  <c r="Y10" i="1" s="1"/>
  <c r="X9" i="1"/>
  <c r="Y9" i="1" s="1"/>
  <c r="X37" i="1"/>
  <c r="Y37" i="1" s="1"/>
  <c r="X36" i="1"/>
  <c r="Y36" i="1"/>
  <c r="X8" i="1"/>
  <c r="Y8" i="1" s="1"/>
  <c r="W46" i="1"/>
  <c r="Z38" i="1"/>
  <c r="Z39" i="1"/>
  <c r="Z41" i="1"/>
  <c r="Z43" i="1"/>
  <c r="Z44" i="1"/>
  <c r="Z36" i="1"/>
  <c r="Z37" i="1"/>
  <c r="Z40" i="1"/>
  <c r="Z42" i="1"/>
  <c r="Z10" i="1"/>
  <c r="Z11" i="1"/>
  <c r="Z13" i="1"/>
  <c r="Z15" i="1"/>
  <c r="Z16" i="1"/>
  <c r="Z8" i="1"/>
  <c r="Z9" i="1"/>
  <c r="Z25" i="1" s="1"/>
  <c r="Z12" i="1"/>
  <c r="Z14" i="1"/>
  <c r="Z17" i="1"/>
  <c r="Z18" i="1"/>
  <c r="Z19" i="1"/>
  <c r="Z20" i="1"/>
  <c r="Z21" i="1"/>
  <c r="Z22" i="1"/>
  <c r="Z23" i="1"/>
  <c r="Z45" i="1"/>
  <c r="Z47" i="1"/>
  <c r="Z46" i="1"/>
  <c r="Z48" i="1"/>
  <c r="Z49" i="1"/>
  <c r="Z51" i="1"/>
  <c r="P24" i="1"/>
  <c r="N24" i="1"/>
  <c r="N25" i="1"/>
  <c r="N26" i="1" s="1"/>
  <c r="W36" i="1"/>
  <c r="W37" i="1"/>
  <c r="W38" i="1"/>
  <c r="W39" i="1"/>
  <c r="W40" i="1"/>
  <c r="W41" i="1"/>
  <c r="W42" i="1"/>
  <c r="W43" i="1"/>
  <c r="W44" i="1"/>
  <c r="W45" i="1"/>
  <c r="W47" i="1"/>
  <c r="W48" i="1"/>
  <c r="W49" i="1"/>
  <c r="W51" i="1"/>
  <c r="V53" i="1"/>
  <c r="V54" i="1" s="1"/>
  <c r="U53" i="1"/>
  <c r="U54" i="1" s="1"/>
  <c r="T53" i="1"/>
  <c r="T54" i="1" s="1"/>
  <c r="S53" i="1"/>
  <c r="S54" i="1" s="1"/>
  <c r="R53" i="1"/>
  <c r="R54" i="1" s="1"/>
  <c r="Q53" i="1"/>
  <c r="Q54" i="1" s="1"/>
  <c r="P53" i="1"/>
  <c r="P54" i="1" s="1"/>
  <c r="O53" i="1"/>
  <c r="O54" i="1" s="1"/>
  <c r="K53" i="1"/>
  <c r="K54" i="1" s="1"/>
  <c r="I53" i="1"/>
  <c r="I54" i="1" s="1"/>
  <c r="V52" i="1"/>
  <c r="U52" i="1"/>
  <c r="T52" i="1"/>
  <c r="S52" i="1"/>
  <c r="R52" i="1"/>
  <c r="Q52" i="1"/>
  <c r="P52" i="1"/>
  <c r="K52" i="1"/>
  <c r="I52" i="1"/>
  <c r="F25" i="1"/>
  <c r="F26" i="1"/>
  <c r="C25" i="1"/>
  <c r="G24" i="1"/>
  <c r="F24" i="1"/>
  <c r="D24" i="1"/>
  <c r="C24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Q24" i="1"/>
  <c r="R24" i="1"/>
  <c r="S24" i="1"/>
  <c r="T24" i="1"/>
  <c r="U24" i="1"/>
  <c r="V24" i="1"/>
  <c r="Q25" i="1"/>
  <c r="Q26" i="1" s="1"/>
  <c r="R25" i="1"/>
  <c r="R26" i="1" s="1"/>
  <c r="S25" i="1"/>
  <c r="S26" i="1" s="1"/>
  <c r="T25" i="1"/>
  <c r="T26" i="1" s="1"/>
  <c r="U25" i="1"/>
  <c r="U26" i="1" s="1"/>
  <c r="V25" i="1"/>
  <c r="V26" i="1" s="1"/>
  <c r="P25" i="1"/>
  <c r="P26" i="1" s="1"/>
  <c r="O25" i="1"/>
  <c r="O26" i="1" s="1"/>
  <c r="K25" i="1"/>
  <c r="K26" i="1" s="1"/>
  <c r="K24" i="1"/>
  <c r="I25" i="1"/>
  <c r="I26" i="1" s="1"/>
  <c r="I24" i="1"/>
  <c r="G102" i="1" l="1"/>
  <c r="AU28" i="1"/>
  <c r="AU19" i="1"/>
  <c r="AU26" i="1"/>
  <c r="AU79" i="1"/>
  <c r="AT96" i="1"/>
  <c r="AU27" i="1"/>
  <c r="Z102" i="1"/>
  <c r="AL102" i="1"/>
  <c r="AU29" i="1"/>
  <c r="D80" i="1"/>
  <c r="Q80" i="1"/>
  <c r="AU102" i="1"/>
  <c r="U80" i="1"/>
  <c r="AW101" i="1"/>
  <c r="AW102" i="1" s="1"/>
  <c r="D99" i="1"/>
  <c r="Q99" i="1"/>
  <c r="Z26" i="1"/>
  <c r="AK102" i="1"/>
  <c r="W25" i="1"/>
  <c r="W26" i="1" s="1"/>
  <c r="AH102" i="1"/>
  <c r="AJ102" i="1"/>
  <c r="AW14" i="1"/>
  <c r="W53" i="1"/>
  <c r="W54" i="1" s="1"/>
  <c r="Z24" i="1"/>
  <c r="Z52" i="1"/>
  <c r="D102" i="1"/>
  <c r="H102" i="1"/>
  <c r="R78" i="1"/>
  <c r="U98" i="1"/>
  <c r="BD10" i="1"/>
  <c r="AW13" i="1"/>
  <c r="O102" i="1"/>
  <c r="Q102" i="1"/>
  <c r="BD13" i="1"/>
  <c r="BD9" i="1"/>
  <c r="AW12" i="1"/>
  <c r="AW8" i="1"/>
  <c r="AV18" i="1"/>
  <c r="AQ98" i="1"/>
  <c r="AQ99" i="1" s="1"/>
  <c r="Y102" i="1"/>
  <c r="Y25" i="1"/>
  <c r="Y26" i="1" s="1"/>
  <c r="Y24" i="1"/>
  <c r="Y53" i="1"/>
  <c r="Y54" i="1" s="1"/>
  <c r="Y52" i="1"/>
  <c r="T91" i="1"/>
  <c r="S98" i="1"/>
  <c r="T98" i="1"/>
  <c r="T99" i="1" s="1"/>
  <c r="W52" i="1"/>
  <c r="X53" i="1"/>
  <c r="X54" i="1" s="1"/>
  <c r="K102" i="1"/>
  <c r="T70" i="1"/>
  <c r="T101" i="1" s="1"/>
  <c r="S78" i="1"/>
  <c r="S101" i="1"/>
  <c r="S79" i="1"/>
  <c r="X52" i="1"/>
  <c r="AN79" i="1"/>
  <c r="AN80" i="1" s="1"/>
  <c r="AN97" i="1"/>
  <c r="AN98" i="1"/>
  <c r="AN99" i="1" s="1"/>
  <c r="X25" i="1"/>
  <c r="X26" i="1" s="1"/>
  <c r="X24" i="1"/>
  <c r="AP70" i="1"/>
  <c r="AP79" i="1" s="1"/>
  <c r="AP80" i="1" s="1"/>
  <c r="AO79" i="1"/>
  <c r="AO80" i="1" s="1"/>
  <c r="AP88" i="1"/>
  <c r="AO97" i="1"/>
  <c r="Z53" i="1"/>
  <c r="Z54" i="1" s="1"/>
  <c r="W24" i="1"/>
  <c r="AP78" i="1"/>
  <c r="R97" i="1"/>
  <c r="R102" i="1" s="1"/>
  <c r="R98" i="1"/>
  <c r="R99" i="1" s="1"/>
  <c r="R101" i="1"/>
  <c r="AM102" i="1"/>
  <c r="AN78" i="1"/>
  <c r="AN101" i="1"/>
  <c r="S97" i="1"/>
  <c r="AI102" i="1"/>
  <c r="P102" i="1"/>
  <c r="U97" i="1"/>
  <c r="U102" i="1" s="1"/>
  <c r="AE102" i="1"/>
  <c r="AQ97" i="1"/>
  <c r="AW79" i="1" s="1"/>
  <c r="L102" i="1"/>
  <c r="U101" i="1"/>
  <c r="AV79" i="1" l="1"/>
  <c r="AT98" i="1"/>
  <c r="AT99" i="1" s="1"/>
  <c r="AT97" i="1"/>
  <c r="S99" i="1"/>
  <c r="AV100" i="1"/>
  <c r="U99" i="1"/>
  <c r="AW100" i="1"/>
  <c r="S80" i="1"/>
  <c r="AV101" i="1"/>
  <c r="AV102" i="1" s="1"/>
  <c r="AW17" i="1"/>
  <c r="AW18" i="1" s="1"/>
  <c r="T97" i="1"/>
  <c r="AP97" i="1"/>
  <c r="AP102" i="1" s="1"/>
  <c r="AP101" i="1"/>
  <c r="AP98" i="1"/>
  <c r="AP99" i="1" s="1"/>
  <c r="S102" i="1"/>
  <c r="AN102" i="1"/>
  <c r="T79" i="1"/>
  <c r="T80" i="1" s="1"/>
  <c r="T78" i="1"/>
  <c r="T102" i="1" s="1"/>
  <c r="AQ102" i="1"/>
  <c r="AT102" i="1" l="1"/>
  <c r="AT81" i="1"/>
  <c r="AX17" i="1"/>
  <c r="AX18" i="1" s="1"/>
  <c r="AX16" i="1"/>
  <c r="J18" i="4"/>
</calcChain>
</file>

<file path=xl/sharedStrings.xml><?xml version="1.0" encoding="utf-8"?>
<sst xmlns="http://schemas.openxmlformats.org/spreadsheetml/2006/main" count="4922" uniqueCount="336">
  <si>
    <t>mlO2/min</t>
  </si>
  <si>
    <t>mlO2/kg/min</t>
  </si>
  <si>
    <t>kg</t>
  </si>
  <si>
    <t>Watt</t>
  </si>
  <si>
    <t>Startbelastning</t>
  </si>
  <si>
    <t>Slutbelastning</t>
  </si>
  <si>
    <t>HR max</t>
  </si>
  <si>
    <t>Laktat 1min etter</t>
  </si>
  <si>
    <t>min</t>
  </si>
  <si>
    <t>sek</t>
  </si>
  <si>
    <t>bpm</t>
  </si>
  <si>
    <t>mmol/L</t>
  </si>
  <si>
    <t>AVR</t>
  </si>
  <si>
    <t>SD</t>
  </si>
  <si>
    <t>SE</t>
  </si>
  <si>
    <t>Kondital</t>
  </si>
  <si>
    <t>Wmax (sidste 1min)</t>
  </si>
  <si>
    <t>TTE</t>
  </si>
  <si>
    <t>min.sek</t>
  </si>
  <si>
    <t>VO2max</t>
  </si>
  <si>
    <t>W</t>
  </si>
  <si>
    <t>W/kg</t>
  </si>
  <si>
    <t>Relative Wmax</t>
  </si>
  <si>
    <t>VO2max 60s</t>
  </si>
  <si>
    <t>Wmax (W)</t>
  </si>
  <si>
    <t>PPO (W)</t>
  </si>
  <si>
    <t>Power output at 4 mmol•L-1 [la-1]  (W)</t>
  </si>
  <si>
    <t>VO2max (mL•kg-1•min-1)</t>
  </si>
  <si>
    <t>Wmax (W•kg-1)</t>
  </si>
  <si>
    <t>PPO (W•kg-1)</t>
  </si>
  <si>
    <t>VO2max (L•min-1)</t>
  </si>
  <si>
    <t>Vekt</t>
  </si>
  <si>
    <t>W@4mmol</t>
  </si>
  <si>
    <t>%VO2max@4mmol</t>
  </si>
  <si>
    <t>%HRmax@4mmol</t>
  </si>
  <si>
    <t>60%VO2max</t>
  </si>
  <si>
    <t>%</t>
  </si>
  <si>
    <t>Laktatprofil</t>
  </si>
  <si>
    <t>Seating</t>
  </si>
  <si>
    <t>Tid på VO2max-test</t>
  </si>
  <si>
    <t>Borg</t>
  </si>
  <si>
    <t>RPE</t>
  </si>
  <si>
    <t>ml/min</t>
  </si>
  <si>
    <t>Krankarm</t>
  </si>
  <si>
    <t>Styrhøyde</t>
  </si>
  <si>
    <t>Krank til saddel</t>
  </si>
  <si>
    <t>Krank til styr</t>
  </si>
  <si>
    <t>PRE</t>
  </si>
  <si>
    <t>FP##</t>
  </si>
  <si>
    <t>Setehøyde</t>
  </si>
  <si>
    <t>POST</t>
  </si>
  <si>
    <t>Gruppe</t>
  </si>
  <si>
    <t>Startwatt på 20min</t>
  </si>
  <si>
    <t>Bergen = FP3XX</t>
  </si>
  <si>
    <t>Kristiansand = FP2XX</t>
  </si>
  <si>
    <t>Lillehammer = FP1XX</t>
  </si>
  <si>
    <t>Trondheim = FP4XX</t>
  </si>
  <si>
    <t>FP101</t>
  </si>
  <si>
    <t>FP102</t>
  </si>
  <si>
    <t>FP104</t>
  </si>
  <si>
    <t>C</t>
  </si>
  <si>
    <t>S</t>
  </si>
  <si>
    <t>FP203</t>
  </si>
  <si>
    <t>FP204</t>
  </si>
  <si>
    <t>FP207</t>
  </si>
  <si>
    <t>FP301</t>
  </si>
  <si>
    <t>FP302</t>
  </si>
  <si>
    <t>FP303</t>
  </si>
  <si>
    <t>FP304</t>
  </si>
  <si>
    <t>FP410</t>
  </si>
  <si>
    <t>FP420</t>
  </si>
  <si>
    <t>FP440</t>
  </si>
  <si>
    <t>FP450</t>
  </si>
  <si>
    <t>FP460</t>
  </si>
  <si>
    <t>FP470</t>
  </si>
  <si>
    <t>(Sprint/Control)</t>
  </si>
  <si>
    <t>AVG</t>
  </si>
  <si>
    <t>Group</t>
  </si>
  <si>
    <t>Pre vs post</t>
  </si>
  <si>
    <t>HRpeak</t>
  </si>
  <si>
    <t>% change</t>
  </si>
  <si>
    <t>%HRpeak@4mmol</t>
  </si>
  <si>
    <t>%change pre vs post</t>
  </si>
  <si>
    <t>Control</t>
  </si>
  <si>
    <t>Sprint</t>
  </si>
  <si>
    <t>TTEST C vs S</t>
  </si>
  <si>
    <t>% change Pre vs Post</t>
  </si>
  <si>
    <t>Lillehammer</t>
  </si>
  <si>
    <t>Kristiansand</t>
  </si>
  <si>
    <t>Bergen</t>
  </si>
  <si>
    <t>Trondheim</t>
  </si>
  <si>
    <t>12 av 16 ned</t>
  </si>
  <si>
    <t>10 av16 ned</t>
  </si>
  <si>
    <t>6 av 16 ned</t>
  </si>
  <si>
    <t>10 av 16 ned</t>
  </si>
  <si>
    <t>4 av 16 ned</t>
  </si>
  <si>
    <t>C vs S</t>
  </si>
  <si>
    <t>Absolute change Sprint</t>
  </si>
  <si>
    <t>Absolute change Control</t>
  </si>
  <si>
    <t>ES</t>
  </si>
  <si>
    <t>Pooled SD</t>
  </si>
  <si>
    <t>ES change</t>
  </si>
  <si>
    <t>Watt på 60%</t>
  </si>
  <si>
    <t>60min test</t>
  </si>
  <si>
    <t>5-10min</t>
  </si>
  <si>
    <t>30-35min</t>
  </si>
  <si>
    <t>Fra laktat</t>
  </si>
  <si>
    <t>V'O2</t>
  </si>
  <si>
    <t>RER</t>
  </si>
  <si>
    <t>GE</t>
  </si>
  <si>
    <t>Formel for GE (Noordhof 2013)</t>
  </si>
  <si>
    <t xml:space="preserve">Fyller inn fra "laktatprofil+VO2peak+60+20" for hver enkelt FP. </t>
  </si>
  <si>
    <t>*</t>
  </si>
  <si>
    <t>5-10 min</t>
  </si>
  <si>
    <t>30-35 min</t>
  </si>
  <si>
    <t>NY</t>
  </si>
  <si>
    <t>No data</t>
  </si>
  <si>
    <t>** Obs! Kjørte på 258W fra 12 min og ut. Så GE for 5-10 min er regnet med 225W som var det han kjørte på da</t>
  </si>
  <si>
    <t>**</t>
  </si>
  <si>
    <t>4840, 16890</t>
  </si>
  <si>
    <t>Perronet</t>
  </si>
  <si>
    <t>B6/((C6/60000)*(4840*X12+16890))*100</t>
  </si>
  <si>
    <t xml:space="preserve">* Brukte post-test fra 20.10.18 kl. 10:45 (var en test fra 19.10.18 også) </t>
  </si>
  <si>
    <t>* Brukt data fra retest</t>
  </si>
  <si>
    <t xml:space="preserve">Snittwatt </t>
  </si>
  <si>
    <t>All data i denne fanen omhandler 20-minutteren!</t>
  </si>
  <si>
    <t>RPM</t>
  </si>
  <si>
    <t>Laktat</t>
  </si>
  <si>
    <t>Snittpuls</t>
  </si>
  <si>
    <t>1 min etter</t>
  </si>
  <si>
    <t>PRE (1)</t>
  </si>
  <si>
    <t xml:space="preserve">** </t>
  </si>
  <si>
    <t xml:space="preserve">** Kun 10 min pga. oppkast. Ekskludere? </t>
  </si>
  <si>
    <t xml:space="preserve">Lav? </t>
  </si>
  <si>
    <t xml:space="preserve">VO2 </t>
  </si>
  <si>
    <t>4-5 min</t>
  </si>
  <si>
    <t>9-10 min</t>
  </si>
  <si>
    <t>14-20 min</t>
  </si>
  <si>
    <t>VO2</t>
  </si>
  <si>
    <t>60 s</t>
  </si>
  <si>
    <t>Utnyttelsesgrad %</t>
  </si>
  <si>
    <t>* Maske ut i 30 sek for FP203 post (disse er fjernet fra data, så alt ok)</t>
  </si>
  <si>
    <t xml:space="preserve">* </t>
  </si>
  <si>
    <t xml:space="preserve">* Oppkast etter 10 min </t>
  </si>
  <si>
    <t xml:space="preserve">No data </t>
  </si>
  <si>
    <t>Snitt</t>
  </si>
  <si>
    <t>Snitt av hele 4-5, 9-10, 14-15 og 19-10 for både VO2 og RER</t>
  </si>
  <si>
    <t xml:space="preserve">* Oppkast etter 10 min (kun Oksycon-data fra 4-5 min) </t>
  </si>
  <si>
    <t>** Obs! Mangler måling 4-5 min</t>
  </si>
  <si>
    <t>** Obs! Kun data fra 4-5 og 9-10 min</t>
  </si>
  <si>
    <t>* Obs! Mangler data fra 4-5 min</t>
  </si>
  <si>
    <t>Sprint 1</t>
  </si>
  <si>
    <t>MPO</t>
  </si>
  <si>
    <t>Sprint 2</t>
  </si>
  <si>
    <t>Sprint 3</t>
  </si>
  <si>
    <t>Sprint 4</t>
  </si>
  <si>
    <t>Pre</t>
  </si>
  <si>
    <t>Post</t>
  </si>
  <si>
    <t>Sprinter</t>
  </si>
  <si>
    <t>6-sek</t>
  </si>
  <si>
    <t>*NY!</t>
  </si>
  <si>
    <t>* helt i kjelleren! Klarte ikke kjøre hel pausene (3-4) men klarte å pusche hver windgate!</t>
  </si>
  <si>
    <t>** Klarte ikke sykle ut sprint 3 og 4 pga. pusteproblemer</t>
  </si>
  <si>
    <t xml:space="preserve">** Obs! Test gjennomført over to dager. Lav? </t>
  </si>
  <si>
    <t>* Kjørte kun 20 sek på sprint 3</t>
  </si>
  <si>
    <t>*(1)</t>
  </si>
  <si>
    <t xml:space="preserve">**1. og 2- sprint ligger inne med identisk data </t>
  </si>
  <si>
    <t xml:space="preserve">FP104 </t>
  </si>
  <si>
    <t>=ROT((((7-1)*(Z79^2)+((9-1)*D79^2))/(9+7-2)))</t>
  </si>
  <si>
    <t>avg diff//sdv pre</t>
  </si>
  <si>
    <t>Absolutt endring</t>
  </si>
  <si>
    <t>* Ingen oxycondata fra 60-min</t>
  </si>
  <si>
    <t xml:space="preserve">* Obs! Kjørte på 255W første 13 min, deretter 246 (tatt hensyn til i GE beregninger) </t>
  </si>
  <si>
    <t>** Obs! Kjørte på 315W første 18 min, deretter 264W (tatt hensyn til i GE beregninger)</t>
  </si>
  <si>
    <t xml:space="preserve"> Obs! På pre-test kjørte FP på høyere Watt første 13 min, mens på post-test var Watten 246 hele veien</t>
  </si>
  <si>
    <t>ml/ min</t>
  </si>
  <si>
    <t xml:space="preserve">% </t>
  </si>
  <si>
    <t>% endring</t>
  </si>
  <si>
    <t>Endring mellom grupper pre-post</t>
  </si>
  <si>
    <t>Endring mellom grupper (S og C) pre-post</t>
  </si>
  <si>
    <t>Frisk</t>
  </si>
  <si>
    <t>Trett</t>
  </si>
  <si>
    <t xml:space="preserve">% endring </t>
  </si>
  <si>
    <t>PO@4 mmol</t>
  </si>
  <si>
    <t>Wmax</t>
  </si>
  <si>
    <t xml:space="preserve"> 4 mmol</t>
  </si>
  <si>
    <t>%VO2 @</t>
  </si>
  <si>
    <t>20min avg</t>
  </si>
  <si>
    <t xml:space="preserve">20min AVG: Snitt av hele 4-5, 9-10, 14-15 og 19-20 </t>
  </si>
  <si>
    <t>all are changed accordingly so Pre and Post values are form the same periods</t>
  </si>
  <si>
    <t>%-point change</t>
  </si>
  <si>
    <t>ES on change</t>
  </si>
  <si>
    <t>95% CI</t>
  </si>
  <si>
    <t>14-15 min</t>
  </si>
  <si>
    <t>19-20 min</t>
  </si>
  <si>
    <t>20 min TT</t>
  </si>
  <si>
    <t>* Brukte fila som heter NY!</t>
  </si>
  <si>
    <t>** No data pga. oppkast. 9-10 min er kun 15 sek(!) med målinger ... Fjerne?</t>
  </si>
  <si>
    <t>***</t>
  </si>
  <si>
    <t>*** Brukt fila som heter PRE(1)</t>
  </si>
  <si>
    <t>Verdiene fra Trondheim er ganget med 1,06!</t>
  </si>
  <si>
    <t>* No data fra 14-15 og 19-20 min. Sjekk med snitt VO2 for pre!!!</t>
  </si>
  <si>
    <t xml:space="preserve">* Bruker fila fra kl. 10:45 </t>
  </si>
  <si>
    <t>** No data fra 4-5 min</t>
  </si>
  <si>
    <t>Fractional utilization</t>
  </si>
  <si>
    <t>** No data pga. oppkast. 9-10 min er kun 15 sek(!) med målinger</t>
  </si>
  <si>
    <t xml:space="preserve">Change GE </t>
  </si>
  <si>
    <t>% point</t>
  </si>
  <si>
    <t>Peronnet &amp; Wallis</t>
  </si>
  <si>
    <t>Relative PO</t>
  </si>
  <si>
    <t>W/ kg</t>
  </si>
  <si>
    <t>Snittwatt</t>
  </si>
  <si>
    <t>ml/ kg</t>
  </si>
  <si>
    <t>&lt;--</t>
  </si>
  <si>
    <t xml:space="preserve">** 1. og 2- sprint ligger inne med identisk data </t>
  </si>
  <si>
    <t>*  Obs! På pre-test kjørte FP på høyere Watt første 13 min, mens på post-test var Watten 246 hele veien</t>
  </si>
  <si>
    <t>LBM</t>
  </si>
  <si>
    <t>Fettprosent</t>
  </si>
  <si>
    <t xml:space="preserve">FP203 </t>
  </si>
  <si>
    <t xml:space="preserve">FP206 </t>
  </si>
  <si>
    <t xml:space="preserve">FP207 </t>
  </si>
  <si>
    <t xml:space="preserve">FP440 </t>
  </si>
  <si>
    <t xml:space="preserve">FP204 </t>
  </si>
  <si>
    <t xml:space="preserve">FP410 </t>
  </si>
  <si>
    <t xml:space="preserve">FP420 </t>
  </si>
  <si>
    <t>Absolutt</t>
  </si>
  <si>
    <t>Trett - frisk</t>
  </si>
  <si>
    <t>%vis</t>
  </si>
  <si>
    <t>Trett-frisk</t>
  </si>
  <si>
    <t>Kontroll</t>
  </si>
  <si>
    <t>Borg-score 20 min all-out</t>
  </si>
  <si>
    <t xml:space="preserve">HR (% av HRpeak) </t>
  </si>
  <si>
    <t xml:space="preserve">Arbeidsøkonomi frisk (%) </t>
  </si>
  <si>
    <t xml:space="preserve">Arbeidsøkonomi trett (%) </t>
  </si>
  <si>
    <r>
      <t>[BLa</t>
    </r>
    <r>
      <rPr>
        <vertAlign val="superscript"/>
        <sz val="12"/>
        <color theme="1"/>
        <rFont val="Times New Roman"/>
        <family val="1"/>
      </rPr>
      <t>-</t>
    </r>
    <r>
      <rPr>
        <sz val="12"/>
        <color theme="1"/>
        <rFont val="Times New Roman"/>
        <family val="1"/>
      </rPr>
      <t>] 20 min all-out mmol L-1</t>
    </r>
  </si>
  <si>
    <t>±</t>
  </si>
  <si>
    <t xml:space="preserve">Alder på dato for pretest med hensyn til skuddår </t>
  </si>
  <si>
    <t>Alder</t>
  </si>
  <si>
    <t>Pretest</t>
  </si>
  <si>
    <t>Født</t>
  </si>
  <si>
    <t>T.TEST (SPRINT VS. KONTROLL)</t>
  </si>
  <si>
    <t>n=9</t>
  </si>
  <si>
    <t xml:space="preserve">* Nødvendig med begge? </t>
  </si>
  <si>
    <t>KONTROLL</t>
  </si>
  <si>
    <t xml:space="preserve">Reduksjon i trening (iTRIMP) </t>
  </si>
  <si>
    <t xml:space="preserve">Treningvolum siste 30 dager (benevning?) </t>
  </si>
  <si>
    <t xml:space="preserve">PO @ 4 mmol (W) </t>
  </si>
  <si>
    <t xml:space="preserve">Wmax (W) </t>
  </si>
  <si>
    <t xml:space="preserve">VO2maks (ml x kg-1 x min-1)  </t>
  </si>
  <si>
    <t xml:space="preserve">VO2 maks (L x min-1) </t>
  </si>
  <si>
    <t xml:space="preserve">Kroppsvekt (kg) </t>
  </si>
  <si>
    <t>Alder (år)</t>
  </si>
  <si>
    <t>n=7</t>
  </si>
  <si>
    <t>SPRINT</t>
  </si>
  <si>
    <t>iTRIMP</t>
  </si>
  <si>
    <t>ml x kg-1 x min-1</t>
  </si>
  <si>
    <t>L x min-1</t>
  </si>
  <si>
    <t>år</t>
  </si>
  <si>
    <t>Reduksjon</t>
  </si>
  <si>
    <t>Treningsvol.</t>
  </si>
  <si>
    <t>PO@4mmol</t>
  </si>
  <si>
    <t>Wmaks</t>
  </si>
  <si>
    <t>VO2 maks</t>
  </si>
  <si>
    <t>Kroppsvekt</t>
  </si>
  <si>
    <t xml:space="preserve">Alder </t>
  </si>
  <si>
    <t>V maks (M*S-1)</t>
  </si>
  <si>
    <t xml:space="preserve">F maks (N) </t>
  </si>
  <si>
    <t>P maks</t>
  </si>
  <si>
    <t>LBM (kg)</t>
  </si>
  <si>
    <t>Fettprosent (%)</t>
  </si>
  <si>
    <t>Kroppssammensetning (spint n=4, kontroll n= 6)</t>
  </si>
  <si>
    <t>Styrkeparametre (sprint n=7, kontroll n=7)</t>
  </si>
  <si>
    <t>Left</t>
  </si>
  <si>
    <t>Right</t>
  </si>
  <si>
    <t>Sum</t>
  </si>
  <si>
    <t>FP</t>
  </si>
  <si>
    <t>Gr.</t>
  </si>
  <si>
    <t>Tidspunkt</t>
  </si>
  <si>
    <t>Vmax (M/S)</t>
  </si>
  <si>
    <t>Fmax (N)</t>
  </si>
  <si>
    <t>Pmax (W)</t>
  </si>
  <si>
    <t>CONTROL</t>
  </si>
  <si>
    <t>Pre 27.9</t>
  </si>
  <si>
    <t>Pre retest 2.10</t>
  </si>
  <si>
    <t xml:space="preserve">Fjerner FP101 pga. manglende POST-data </t>
  </si>
  <si>
    <t xml:space="preserve">* Sjekk med Maddison </t>
  </si>
  <si>
    <t>Fjerner FP206 pga. manglende POST- og RE-data</t>
  </si>
  <si>
    <t>Fjerner FP450 pga. manglende PRE-data</t>
  </si>
  <si>
    <t>Endring</t>
  </si>
  <si>
    <r>
      <t xml:space="preserve">Sprint </t>
    </r>
    <r>
      <rPr>
        <i/>
        <sz val="12"/>
        <color theme="1"/>
        <rFont val="Times New Roman"/>
        <family val="1"/>
      </rPr>
      <t>n=7</t>
    </r>
  </si>
  <si>
    <r>
      <t>Kontroll</t>
    </r>
    <r>
      <rPr>
        <i/>
        <sz val="12"/>
        <color theme="1"/>
        <rFont val="Times New Roman"/>
        <family val="1"/>
      </rPr>
      <t xml:space="preserve"> n=9</t>
    </r>
  </si>
  <si>
    <t>e</t>
  </si>
  <si>
    <t>t</t>
  </si>
  <si>
    <t>wc</t>
  </si>
  <si>
    <t>wt</t>
  </si>
  <si>
    <t>Vo2</t>
  </si>
  <si>
    <t>Post-pre per FP</t>
  </si>
  <si>
    <t xml:space="preserve">Brukt denne i artikkel </t>
  </si>
  <si>
    <t xml:space="preserve">Training Load  </t>
  </si>
  <si>
    <t xml:space="preserve">Lead in </t>
  </si>
  <si>
    <t xml:space="preserve">Intervention </t>
  </si>
  <si>
    <t>%CHANGE</t>
  </si>
  <si>
    <t xml:space="preserve">Week 1 </t>
  </si>
  <si>
    <t>Week 2</t>
  </si>
  <si>
    <t xml:space="preserve">Week 3 </t>
  </si>
  <si>
    <t xml:space="preserve">Week 4 </t>
  </si>
  <si>
    <t xml:space="preserve">Total </t>
  </si>
  <si>
    <t>Weekly Average</t>
  </si>
  <si>
    <t>Week 5</t>
  </si>
  <si>
    <t>Week 6</t>
  </si>
  <si>
    <t>Week 7</t>
  </si>
  <si>
    <t xml:space="preserve">Weekly Average </t>
  </si>
  <si>
    <t xml:space="preserve">**scores are TSS scores </t>
  </si>
  <si>
    <t xml:space="preserve">w1- look into </t>
  </si>
  <si>
    <t xml:space="preserve">w5-verified 23.11 </t>
  </si>
  <si>
    <t xml:space="preserve">w4- look into </t>
  </si>
  <si>
    <t xml:space="preserve"> 3 week lead in ?</t>
  </si>
  <si>
    <t xml:space="preserve">omit week 1/2 of lead in </t>
  </si>
  <si>
    <t xml:space="preserve">AVERAGE </t>
  </si>
  <si>
    <t>Session quantity</t>
  </si>
  <si>
    <t>%CHANGE iTRIMP</t>
  </si>
  <si>
    <t>%CHANGE hours</t>
  </si>
  <si>
    <t>Hrs/wk lead in</t>
  </si>
  <si>
    <t>Total sessions</t>
  </si>
  <si>
    <t>LIT</t>
  </si>
  <si>
    <t>MIT</t>
  </si>
  <si>
    <t>HIT</t>
  </si>
  <si>
    <t>#session/wk</t>
  </si>
  <si>
    <t>%LIT of sessions</t>
  </si>
  <si>
    <t>%MIT of sessions</t>
  </si>
  <si>
    <t>%HIT of sessions</t>
  </si>
  <si>
    <t>Numer training sessions</t>
  </si>
  <si>
    <t>Hrs/wk intervention</t>
  </si>
  <si>
    <t>TTST</t>
  </si>
  <si>
    <t>NOTE: Data from Lead-in recorded in SMART-HR are excluded and an average of the remaining weeks is used</t>
  </si>
  <si>
    <t xml:space="preserve">**NEEDS to be updated once training logs are redone**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</si>
</sst>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_-* #,##0_-;\-* #,##0_-;_-* &quot;-&quot;??_-;_-@_-"/>
  </numFmts>
  <fonts count="53">
    <font>
      <sz val="12"/>
      <color theme="1"/>
      <name val="Times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Times"/>
      <family val="2"/>
    </font>
    <font>
      <u/>
      <sz val="12"/>
      <color theme="11"/>
      <name val="Times"/>
      <family val="2"/>
    </font>
    <font>
      <b/>
      <sz val="16"/>
      <color theme="1"/>
      <name val="Times"/>
      <family val="1"/>
    </font>
    <font>
      <b/>
      <sz val="20"/>
      <color theme="1"/>
      <name val="Times"/>
      <family val="1"/>
    </font>
    <font>
      <b/>
      <sz val="12"/>
      <color theme="1"/>
      <name val="Times"/>
      <family val="2"/>
    </font>
    <font>
      <sz val="12"/>
      <color rgb="FF006100"/>
      <name val="Times"/>
      <family val="2"/>
    </font>
    <font>
      <b/>
      <sz val="12"/>
      <color theme="1"/>
      <name val="Times"/>
      <family val="1"/>
    </font>
    <font>
      <sz val="12"/>
      <color rgb="FF000000"/>
      <name val="Times"/>
      <family val="2"/>
    </font>
    <font>
      <sz val="12"/>
      <color rgb="FF9C0006"/>
      <name val="Times"/>
      <family val="2"/>
    </font>
    <font>
      <sz val="12"/>
      <color theme="1"/>
      <name val="Times"/>
      <family val="1"/>
    </font>
    <font>
      <sz val="12"/>
      <color rgb="FF9C5700"/>
      <name val="Times"/>
      <family val="2"/>
    </font>
    <font>
      <sz val="16"/>
      <color theme="1"/>
      <name val="Times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FF0000"/>
      <name val="Times"/>
      <family val="2"/>
    </font>
    <font>
      <sz val="12"/>
      <name val="Times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Times"/>
      <family val="1"/>
    </font>
    <font>
      <b/>
      <sz val="18"/>
      <color theme="1"/>
      <name val="Times"/>
      <family val="1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4"/>
      <color theme="1"/>
      <name val="Times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Roman"/>
    </font>
    <font>
      <sz val="12"/>
      <color rgb="FF000000"/>
      <name val="Times"/>
      <family val="1"/>
    </font>
    <font>
      <sz val="8"/>
      <name val="Arial"/>
      <family val="2"/>
    </font>
    <font>
      <sz val="12"/>
      <color theme="1"/>
      <name val="Helvetica"/>
      <family val="2"/>
    </font>
    <font>
      <sz val="12"/>
      <color rgb="FFFF0000"/>
      <name val="Times New Roman"/>
      <family val="1"/>
    </font>
    <font>
      <b/>
      <sz val="12"/>
      <color rgb="FFFF0000"/>
      <name val="Times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Times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5" tint="0.39997558519241921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542">
    <xf numFmtId="0" fontId="0" fillId="0" borderId="0" xfId="0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0" xfId="0" applyFill="1" applyBorder="1"/>
    <xf numFmtId="0" fontId="0" fillId="0" borderId="18" xfId="0" applyBorder="1"/>
    <xf numFmtId="164" fontId="0" fillId="0" borderId="0" xfId="0" applyNumberFormat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2" fontId="10" fillId="2" borderId="0" xfId="39" applyNumberForma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10" fillId="2" borderId="0" xfId="39" applyNumberForma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2" fontId="10" fillId="0" borderId="0" xfId="39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4" fontId="14" fillId="5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14" fillId="6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14" fillId="7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64" fontId="14" fillId="8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10" fillId="2" borderId="0" xfId="39" applyNumberFormat="1" applyBorder="1" applyAlignment="1">
      <alignment horizontal="center"/>
    </xf>
    <xf numFmtId="164" fontId="13" fillId="4" borderId="0" xfId="76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13" fillId="4" borderId="3" xfId="76" applyNumberFormat="1" applyBorder="1" applyAlignment="1">
      <alignment horizontal="center"/>
    </xf>
    <xf numFmtId="164" fontId="10" fillId="2" borderId="10" xfId="39" applyNumberFormat="1" applyBorder="1" applyAlignment="1">
      <alignment horizontal="center"/>
    </xf>
    <xf numFmtId="164" fontId="13" fillId="4" borderId="10" xfId="76" applyNumberFormat="1" applyBorder="1" applyAlignment="1">
      <alignment horizontal="center"/>
    </xf>
    <xf numFmtId="164" fontId="10" fillId="2" borderId="3" xfId="39" applyNumberFormat="1" applyBorder="1" applyAlignment="1">
      <alignment horizontal="center"/>
    </xf>
    <xf numFmtId="164" fontId="13" fillId="4" borderId="5" xfId="76" applyNumberFormat="1" applyBorder="1" applyAlignment="1">
      <alignment horizontal="center"/>
    </xf>
    <xf numFmtId="164" fontId="13" fillId="4" borderId="6" xfId="76" applyNumberFormat="1" applyBorder="1" applyAlignment="1">
      <alignment horizontal="center"/>
    </xf>
    <xf numFmtId="164" fontId="10" fillId="2" borderId="6" xfId="39" applyNumberFormat="1" applyBorder="1" applyAlignment="1">
      <alignment horizontal="center"/>
    </xf>
    <xf numFmtId="164" fontId="10" fillId="2" borderId="9" xfId="39" applyNumberForma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10" fillId="2" borderId="1" xfId="39" applyNumberFormat="1" applyBorder="1" applyAlignment="1">
      <alignment horizontal="center"/>
    </xf>
    <xf numFmtId="164" fontId="13" fillId="4" borderId="2" xfId="76" applyNumberFormat="1" applyBorder="1" applyAlignment="1">
      <alignment horizontal="center"/>
    </xf>
    <xf numFmtId="164" fontId="13" fillId="4" borderId="11" xfId="76" applyNumberFormat="1" applyBorder="1" applyAlignment="1">
      <alignment horizontal="center"/>
    </xf>
    <xf numFmtId="164" fontId="13" fillId="4" borderId="9" xfId="76" applyNumberFormat="1" applyBorder="1" applyAlignment="1">
      <alignment horizontal="center"/>
    </xf>
    <xf numFmtId="2" fontId="15" fillId="9" borderId="0" xfId="77" applyNumberFormat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1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ont="1" applyFill="1" applyBorder="1"/>
    <xf numFmtId="0" fontId="17" fillId="0" borderId="18" xfId="0" applyFont="1" applyFill="1" applyBorder="1"/>
    <xf numFmtId="1" fontId="0" fillId="0" borderId="18" xfId="0" applyNumberFormat="1" applyFont="1" applyFill="1" applyBorder="1" applyAlignment="1">
      <alignment horizontal="center"/>
    </xf>
    <xf numFmtId="164" fontId="0" fillId="0" borderId="0" xfId="0" applyNumberFormat="1"/>
    <xf numFmtId="1" fontId="0" fillId="0" borderId="16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4" xfId="0" applyFont="1" applyFill="1" applyBorder="1"/>
    <xf numFmtId="0" fontId="17" fillId="0" borderId="4" xfId="0" applyFont="1" applyFill="1" applyBorder="1"/>
    <xf numFmtId="0" fontId="18" fillId="0" borderId="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5" fillId="0" borderId="18" xfId="78" applyNumberFormat="1" applyFill="1" applyBorder="1" applyAlignment="1">
      <alignment horizontal="center"/>
    </xf>
    <xf numFmtId="2" fontId="0" fillId="0" borderId="18" xfId="0" applyNumberFormat="1" applyBorder="1" applyAlignment="1"/>
    <xf numFmtId="0" fontId="11" fillId="0" borderId="0" xfId="0" applyFont="1"/>
    <xf numFmtId="2" fontId="0" fillId="0" borderId="0" xfId="0" applyNumberFormat="1" applyBorder="1"/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1" fontId="0" fillId="0" borderId="12" xfId="0" applyNumberFormat="1" applyBorder="1" applyAlignment="1">
      <alignment horizontal="right"/>
    </xf>
    <xf numFmtId="2" fontId="0" fillId="0" borderId="12" xfId="0" applyNumberFormat="1" applyBorder="1"/>
    <xf numFmtId="2" fontId="0" fillId="0" borderId="39" xfId="0" applyNumberFormat="1" applyBorder="1"/>
    <xf numFmtId="2" fontId="0" fillId="0" borderId="31" xfId="0" applyNumberFormat="1" applyBorder="1"/>
    <xf numFmtId="2" fontId="0" fillId="0" borderId="22" xfId="0" applyNumberFormat="1" applyBorder="1"/>
    <xf numFmtId="0" fontId="0" fillId="0" borderId="7" xfId="0" applyBorder="1"/>
    <xf numFmtId="0" fontId="0" fillId="0" borderId="40" xfId="0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1" xfId="0" applyNumberFormat="1" applyBorder="1"/>
    <xf numFmtId="164" fontId="0" fillId="0" borderId="12" xfId="0" applyNumberFormat="1" applyBorder="1"/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1" fontId="0" fillId="0" borderId="12" xfId="0" applyNumberFormat="1" applyBorder="1"/>
    <xf numFmtId="1" fontId="0" fillId="0" borderId="12" xfId="0" applyNumberFormat="1" applyFill="1" applyBorder="1" applyAlignment="1"/>
    <xf numFmtId="2" fontId="0" fillId="0" borderId="12" xfId="0" applyNumberFormat="1" applyBorder="1" applyAlignment="1"/>
    <xf numFmtId="164" fontId="0" fillId="0" borderId="12" xfId="0" applyNumberFormat="1" applyBorder="1" applyAlignment="1"/>
    <xf numFmtId="1" fontId="0" fillId="0" borderId="12" xfId="0" applyNumberFormat="1" applyBorder="1" applyAlignment="1"/>
    <xf numFmtId="164" fontId="5" fillId="0" borderId="12" xfId="78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" fontId="0" fillId="0" borderId="18" xfId="0" applyNumberFormat="1" applyBorder="1" applyAlignment="1"/>
    <xf numFmtId="164" fontId="0" fillId="0" borderId="12" xfId="0" applyNumberFormat="1" applyFill="1" applyBorder="1" applyAlignment="1">
      <alignment horizontal="center"/>
    </xf>
    <xf numFmtId="2" fontId="0" fillId="0" borderId="4" xfId="0" applyNumberFormat="1" applyBorder="1" applyAlignment="1"/>
    <xf numFmtId="164" fontId="5" fillId="0" borderId="18" xfId="78" applyNumberFormat="1" applyFill="1" applyBorder="1" applyAlignment="1">
      <alignment horizontal="right"/>
    </xf>
    <xf numFmtId="164" fontId="0" fillId="0" borderId="18" xfId="0" applyNumberFormat="1" applyBorder="1"/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0" borderId="42" xfId="0" applyBorder="1" applyAlignment="1">
      <alignment horizontal="center"/>
    </xf>
    <xf numFmtId="0" fontId="0" fillId="0" borderId="3" xfId="0" applyBorder="1" applyAlignment="1">
      <alignment horizontal="center"/>
    </xf>
    <xf numFmtId="164" fontId="11" fillId="0" borderId="0" xfId="0" applyNumberFormat="1" applyFont="1"/>
    <xf numFmtId="2" fontId="19" fillId="0" borderId="12" xfId="0" applyNumberFormat="1" applyFont="1" applyBorder="1"/>
    <xf numFmtId="1" fontId="19" fillId="0" borderId="12" xfId="0" applyNumberFormat="1" applyFont="1" applyBorder="1"/>
    <xf numFmtId="2" fontId="0" fillId="0" borderId="12" xfId="0" applyNumberFormat="1" applyFont="1" applyBorder="1" applyAlignment="1">
      <alignment horizontal="center"/>
    </xf>
    <xf numFmtId="2" fontId="20" fillId="0" borderId="12" xfId="0" applyNumberFormat="1" applyFont="1" applyBorder="1"/>
    <xf numFmtId="1" fontId="20" fillId="0" borderId="12" xfId="0" applyNumberFormat="1" applyFont="1" applyBorder="1"/>
    <xf numFmtId="0" fontId="19" fillId="0" borderId="0" xfId="0" applyFont="1"/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1" xfId="0" applyBorder="1"/>
    <xf numFmtId="1" fontId="0" fillId="0" borderId="31" xfId="0" applyNumberFormat="1" applyFont="1" applyFill="1" applyBorder="1"/>
    <xf numFmtId="1" fontId="0" fillId="0" borderId="31" xfId="0" applyNumberFormat="1" applyBorder="1"/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" fontId="17" fillId="0" borderId="12" xfId="0" applyNumberFormat="1" applyFont="1" applyFill="1" applyBorder="1"/>
    <xf numFmtId="2" fontId="0" fillId="0" borderId="32" xfId="0" applyNumberFormat="1" applyBorder="1"/>
    <xf numFmtId="1" fontId="0" fillId="0" borderId="17" xfId="0" applyNumberFormat="1" applyBorder="1"/>
    <xf numFmtId="1" fontId="0" fillId="0" borderId="15" xfId="0" applyNumberFormat="1" applyBorder="1"/>
    <xf numFmtId="0" fontId="20" fillId="0" borderId="0" xfId="0" applyFont="1"/>
    <xf numFmtId="1" fontId="0" fillId="0" borderId="12" xfId="0" applyNumberFormat="1" applyFont="1" applyFill="1" applyBorder="1"/>
    <xf numFmtId="1" fontId="0" fillId="0" borderId="17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4" fillId="0" borderId="3" xfId="0" applyFont="1" applyFill="1" applyBorder="1" applyAlignment="1">
      <alignment horizontal="left"/>
    </xf>
    <xf numFmtId="0" fontId="14" fillId="0" borderId="0" xfId="0" applyFo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42" xfId="0" applyFont="1" applyBorder="1" applyAlignment="1">
      <alignment horizontal="center"/>
    </xf>
    <xf numFmtId="1" fontId="0" fillId="0" borderId="0" xfId="0" applyNumberFormat="1" applyFill="1" applyBorder="1"/>
    <xf numFmtId="0" fontId="0" fillId="0" borderId="35" xfId="0" applyBorder="1" applyAlignment="1">
      <alignment horizontal="center"/>
    </xf>
    <xf numFmtId="0" fontId="0" fillId="0" borderId="0" xfId="0" applyFont="1" applyFill="1" applyBorder="1"/>
    <xf numFmtId="0" fontId="8" fillId="0" borderId="0" xfId="0" applyFont="1"/>
    <xf numFmtId="0" fontId="0" fillId="11" borderId="18" xfId="0" applyFill="1" applyBorder="1"/>
    <xf numFmtId="0" fontId="0" fillId="11" borderId="18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164" fontId="0" fillId="12" borderId="31" xfId="0" applyNumberFormat="1" applyFill="1" applyBorder="1"/>
    <xf numFmtId="164" fontId="0" fillId="12" borderId="12" xfId="0" applyNumberFormat="1" applyFill="1" applyBorder="1"/>
    <xf numFmtId="0" fontId="0" fillId="11" borderId="12" xfId="0" applyFont="1" applyFill="1" applyBorder="1"/>
    <xf numFmtId="0" fontId="0" fillId="11" borderId="1" xfId="0" applyFill="1" applyBorder="1" applyAlignment="1">
      <alignment horizontal="center"/>
    </xf>
    <xf numFmtId="0" fontId="0" fillId="11" borderId="39" xfId="0" applyFont="1" applyFill="1" applyBorder="1"/>
    <xf numFmtId="0" fontId="17" fillId="11" borderId="39" xfId="0" applyFont="1" applyFill="1" applyBorder="1"/>
    <xf numFmtId="164" fontId="0" fillId="12" borderId="24" xfId="0" applyNumberFormat="1" applyFill="1" applyBorder="1"/>
    <xf numFmtId="164" fontId="0" fillId="12" borderId="32" xfId="0" applyNumberFormat="1" applyFill="1" applyBorder="1"/>
    <xf numFmtId="0" fontId="0" fillId="0" borderId="44" xfId="0" applyBorder="1"/>
    <xf numFmtId="0" fontId="0" fillId="0" borderId="46" xfId="0" applyBorder="1"/>
    <xf numFmtId="0" fontId="0" fillId="11" borderId="4" xfId="0" applyFill="1" applyBorder="1" applyAlignment="1">
      <alignment horizontal="center"/>
    </xf>
    <xf numFmtId="0" fontId="0" fillId="11" borderId="47" xfId="0" applyFont="1" applyFill="1" applyBorder="1"/>
    <xf numFmtId="164" fontId="0" fillId="12" borderId="33" xfId="0" applyNumberFormat="1" applyFill="1" applyBorder="1"/>
    <xf numFmtId="164" fontId="0" fillId="12" borderId="16" xfId="0" applyNumberFormat="1" applyFont="1" applyFill="1" applyBorder="1"/>
    <xf numFmtId="164" fontId="17" fillId="12" borderId="16" xfId="0" applyNumberFormat="1" applyFont="1" applyFill="1" applyBorder="1"/>
    <xf numFmtId="164" fontId="0" fillId="12" borderId="45" xfId="0" applyNumberFormat="1" applyFont="1" applyFill="1" applyBorder="1"/>
    <xf numFmtId="164" fontId="0" fillId="12" borderId="12" xfId="0" applyNumberFormat="1" applyFont="1" applyFill="1" applyBorder="1"/>
    <xf numFmtId="164" fontId="17" fillId="12" borderId="12" xfId="0" applyNumberFormat="1" applyFont="1" applyFill="1" applyBorder="1"/>
    <xf numFmtId="0" fontId="11" fillId="11" borderId="34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164" fontId="19" fillId="12" borderId="12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9" fillId="0" borderId="12" xfId="0" applyFont="1" applyBorder="1"/>
    <xf numFmtId="0" fontId="19" fillId="0" borderId="17" xfId="0" applyFont="1" applyBorder="1"/>
    <xf numFmtId="0" fontId="0" fillId="13" borderId="31" xfId="0" applyFill="1" applyBorder="1"/>
    <xf numFmtId="0" fontId="0" fillId="13" borderId="12" xfId="0" applyFill="1" applyBorder="1"/>
    <xf numFmtId="164" fontId="0" fillId="12" borderId="43" xfId="0" applyNumberFormat="1" applyFill="1" applyBorder="1"/>
    <xf numFmtId="164" fontId="0" fillId="12" borderId="16" xfId="0" applyNumberFormat="1" applyFill="1" applyBorder="1"/>
    <xf numFmtId="164" fontId="19" fillId="12" borderId="16" xfId="0" applyNumberFormat="1" applyFont="1" applyFill="1" applyBorder="1"/>
    <xf numFmtId="164" fontId="0" fillId="12" borderId="45" xfId="0" applyNumberFormat="1" applyFill="1" applyBorder="1"/>
    <xf numFmtId="0" fontId="0" fillId="13" borderId="22" xfId="0" applyFill="1" applyBorder="1"/>
    <xf numFmtId="0" fontId="0" fillId="13" borderId="39" xfId="0" applyFill="1" applyBorder="1"/>
    <xf numFmtId="0" fontId="0" fillId="13" borderId="47" xfId="0" applyFill="1" applyBorder="1"/>
    <xf numFmtId="0" fontId="0" fillId="13" borderId="44" xfId="0" applyFill="1" applyBorder="1"/>
    <xf numFmtId="0" fontId="0" fillId="13" borderId="17" xfId="0" applyFill="1" applyBorder="1"/>
    <xf numFmtId="0" fontId="0" fillId="13" borderId="46" xfId="0" applyFill="1" applyBorder="1"/>
    <xf numFmtId="0" fontId="0" fillId="11" borderId="34" xfId="0" applyFill="1" applyBorder="1"/>
    <xf numFmtId="164" fontId="0" fillId="12" borderId="13" xfId="0" applyNumberFormat="1" applyFont="1" applyFill="1" applyBorder="1"/>
    <xf numFmtId="164" fontId="0" fillId="12" borderId="14" xfId="0" applyNumberFormat="1" applyFill="1" applyBorder="1"/>
    <xf numFmtId="0" fontId="0" fillId="13" borderId="14" xfId="0" applyFill="1" applyBorder="1"/>
    <xf numFmtId="0" fontId="0" fillId="13" borderId="15" xfId="0" applyFill="1" applyBorder="1"/>
    <xf numFmtId="164" fontId="0" fillId="12" borderId="30" xfId="0" applyNumberFormat="1" applyFill="1" applyBorder="1"/>
    <xf numFmtId="0" fontId="0" fillId="0" borderId="30" xfId="0" applyBorder="1"/>
    <xf numFmtId="0" fontId="0" fillId="13" borderId="30" xfId="0" applyFill="1" applyBorder="1"/>
    <xf numFmtId="164" fontId="19" fillId="12" borderId="30" xfId="0" applyNumberFormat="1" applyFont="1" applyFill="1" applyBorder="1"/>
    <xf numFmtId="164" fontId="0" fillId="12" borderId="13" xfId="0" applyNumberFormat="1" applyFill="1" applyBorder="1"/>
    <xf numFmtId="0" fontId="19" fillId="13" borderId="17" xfId="0" applyFont="1" applyFill="1" applyBorder="1"/>
    <xf numFmtId="0" fontId="0" fillId="0" borderId="12" xfId="0" applyFill="1" applyBorder="1" applyAlignment="1">
      <alignment horizontal="center"/>
    </xf>
    <xf numFmtId="0" fontId="0" fillId="0" borderId="6" xfId="0" applyBorder="1"/>
    <xf numFmtId="49" fontId="11" fillId="0" borderId="0" xfId="0" applyNumberFormat="1" applyFont="1"/>
    <xf numFmtId="0" fontId="0" fillId="0" borderId="12" xfId="0" applyFont="1" applyBorder="1"/>
    <xf numFmtId="0" fontId="0" fillId="13" borderId="12" xfId="0" applyFont="1" applyFill="1" applyBorder="1"/>
    <xf numFmtId="164" fontId="19" fillId="0" borderId="6" xfId="0" applyNumberFormat="1" applyFont="1" applyBorder="1"/>
    <xf numFmtId="164" fontId="0" fillId="0" borderId="6" xfId="0" applyNumberFormat="1" applyBorder="1"/>
    <xf numFmtId="164" fontId="0" fillId="0" borderId="0" xfId="0" applyNumberFormat="1" applyFill="1"/>
    <xf numFmtId="0" fontId="11" fillId="0" borderId="0" xfId="0" applyFont="1" applyFill="1" applyBorder="1"/>
    <xf numFmtId="2" fontId="11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/>
    <xf numFmtId="49" fontId="0" fillId="0" borderId="0" xfId="0" applyNumberFormat="1"/>
    <xf numFmtId="0" fontId="0" fillId="0" borderId="18" xfId="0" applyBorder="1" applyAlignment="1">
      <alignment horizontal="center"/>
    </xf>
    <xf numFmtId="1" fontId="19" fillId="0" borderId="12" xfId="0" applyNumberFormat="1" applyFont="1" applyBorder="1" applyAlignment="1">
      <alignment horizontal="right"/>
    </xf>
    <xf numFmtId="0" fontId="0" fillId="0" borderId="0" xfId="0" applyFont="1"/>
    <xf numFmtId="1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/>
    <xf numFmtId="2" fontId="0" fillId="0" borderId="39" xfId="0" applyNumberFormat="1" applyFont="1" applyBorder="1"/>
    <xf numFmtId="164" fontId="0" fillId="0" borderId="31" xfId="0" applyNumberFormat="1" applyFont="1" applyBorder="1"/>
    <xf numFmtId="0" fontId="0" fillId="0" borderId="34" xfId="0" applyFill="1" applyBorder="1" applyAlignment="1">
      <alignment horizontal="center"/>
    </xf>
    <xf numFmtId="0" fontId="0" fillId="0" borderId="18" xfId="0" applyBorder="1" applyAlignment="1"/>
    <xf numFmtId="0" fontId="0" fillId="0" borderId="11" xfId="0" applyBorder="1"/>
    <xf numFmtId="0" fontId="0" fillId="0" borderId="9" xfId="0" applyBorder="1"/>
    <xf numFmtId="0" fontId="11" fillId="0" borderId="7" xfId="0" applyFont="1" applyBorder="1" applyAlignment="1"/>
    <xf numFmtId="0" fontId="11" fillId="0" borderId="8" xfId="0" applyFont="1" applyBorder="1" applyAlignment="1"/>
    <xf numFmtId="0" fontId="11" fillId="0" borderId="10" xfId="0" applyFont="1" applyBorder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6" xfId="0" applyFill="1" applyBorder="1"/>
    <xf numFmtId="0" fontId="0" fillId="0" borderId="48" xfId="0" applyFill="1" applyBorder="1"/>
    <xf numFmtId="0" fontId="0" fillId="0" borderId="26" xfId="0" applyFill="1" applyBorder="1"/>
    <xf numFmtId="0" fontId="0" fillId="0" borderId="8" xfId="0" applyFont="1" applyFill="1" applyBorder="1"/>
    <xf numFmtId="0" fontId="0" fillId="0" borderId="3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0" fillId="14" borderId="0" xfId="0" applyFill="1"/>
    <xf numFmtId="0" fontId="0" fillId="14" borderId="0" xfId="0" applyFill="1" applyBorder="1"/>
    <xf numFmtId="0" fontId="0" fillId="14" borderId="0" xfId="0" applyFont="1" applyFill="1" applyBorder="1" applyAlignment="1">
      <alignment horizontal="center"/>
    </xf>
    <xf numFmtId="0" fontId="18" fillId="14" borderId="7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34" xfId="0" applyFill="1" applyBorder="1" applyAlignment="1">
      <alignment horizontal="center"/>
    </xf>
    <xf numFmtId="0" fontId="0" fillId="14" borderId="34" xfId="0" applyFill="1" applyBorder="1"/>
    <xf numFmtId="0" fontId="0" fillId="14" borderId="4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0" fillId="14" borderId="18" xfId="0" applyFont="1" applyFill="1" applyBorder="1"/>
    <xf numFmtId="1" fontId="0" fillId="14" borderId="4" xfId="0" applyNumberFormat="1" applyFont="1" applyFill="1" applyBorder="1" applyAlignment="1">
      <alignment horizontal="center"/>
    </xf>
    <xf numFmtId="1" fontId="0" fillId="14" borderId="12" xfId="0" applyNumberFormat="1" applyFill="1" applyBorder="1" applyAlignment="1"/>
    <xf numFmtId="2" fontId="0" fillId="14" borderId="12" xfId="0" applyNumberFormat="1" applyFill="1" applyBorder="1" applyAlignment="1"/>
    <xf numFmtId="164" fontId="0" fillId="14" borderId="12" xfId="0" applyNumberFormat="1" applyFill="1" applyBorder="1" applyAlignment="1"/>
    <xf numFmtId="0" fontId="0" fillId="14" borderId="4" xfId="0" applyFont="1" applyFill="1" applyBorder="1"/>
    <xf numFmtId="0" fontId="17" fillId="14" borderId="18" xfId="0" applyFont="1" applyFill="1" applyBorder="1"/>
    <xf numFmtId="1" fontId="17" fillId="14" borderId="4" xfId="0" applyNumberFormat="1" applyFont="1" applyFill="1" applyBorder="1" applyAlignment="1">
      <alignment horizontal="center"/>
    </xf>
    <xf numFmtId="0" fontId="17" fillId="14" borderId="4" xfId="0" applyFont="1" applyFill="1" applyBorder="1"/>
    <xf numFmtId="0" fontId="0" fillId="14" borderId="3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164" fontId="0" fillId="14" borderId="0" xfId="0" applyNumberFormat="1" applyFill="1" applyAlignment="1">
      <alignment horizontal="right"/>
    </xf>
    <xf numFmtId="164" fontId="0" fillId="14" borderId="0" xfId="0" applyNumberFormat="1" applyFill="1"/>
    <xf numFmtId="1" fontId="0" fillId="14" borderId="0" xfId="0" applyNumberFormat="1" applyFill="1"/>
    <xf numFmtId="0" fontId="11" fillId="14" borderId="0" xfId="0" applyFont="1" applyFill="1" applyAlignment="1">
      <alignment horizontal="center"/>
    </xf>
    <xf numFmtId="0" fontId="14" fillId="14" borderId="0" xfId="0" applyFont="1" applyFill="1"/>
    <xf numFmtId="164" fontId="14" fillId="14" borderId="0" xfId="0" applyNumberFormat="1" applyFont="1" applyFill="1" applyAlignment="1">
      <alignment horizontal="right"/>
    </xf>
    <xf numFmtId="165" fontId="11" fillId="14" borderId="0" xfId="0" applyNumberFormat="1" applyFont="1" applyFill="1" applyAlignment="1">
      <alignment horizontal="right"/>
    </xf>
    <xf numFmtId="0" fontId="18" fillId="14" borderId="18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1" fontId="0" fillId="14" borderId="18" xfId="0" applyNumberFormat="1" applyFont="1" applyFill="1" applyBorder="1" applyAlignment="1">
      <alignment horizontal="center"/>
    </xf>
    <xf numFmtId="1" fontId="0" fillId="14" borderId="24" xfId="0" applyNumberFormat="1" applyFill="1" applyBorder="1" applyAlignment="1">
      <alignment horizontal="center"/>
    </xf>
    <xf numFmtId="1" fontId="0" fillId="14" borderId="31" xfId="0" applyNumberFormat="1" applyFill="1" applyBorder="1" applyAlignment="1">
      <alignment horizontal="center"/>
    </xf>
    <xf numFmtId="2" fontId="0" fillId="14" borderId="12" xfId="0" applyNumberFormat="1" applyFill="1" applyBorder="1" applyAlignment="1">
      <alignment horizontal="center"/>
    </xf>
    <xf numFmtId="164" fontId="0" fillId="14" borderId="12" xfId="0" applyNumberFormat="1" applyFill="1" applyBorder="1" applyAlignment="1">
      <alignment horizontal="center"/>
    </xf>
    <xf numFmtId="0" fontId="0" fillId="14" borderId="34" xfId="0" applyFont="1" applyFill="1" applyBorder="1" applyAlignment="1">
      <alignment horizontal="center"/>
    </xf>
    <xf numFmtId="0" fontId="0" fillId="14" borderId="8" xfId="0" applyFont="1" applyFill="1" applyBorder="1"/>
    <xf numFmtId="164" fontId="5" fillId="14" borderId="18" xfId="78" applyNumberFormat="1" applyFill="1" applyBorder="1" applyAlignment="1">
      <alignment horizontal="right"/>
    </xf>
    <xf numFmtId="2" fontId="0" fillId="14" borderId="18" xfId="0" applyNumberFormat="1" applyFill="1" applyBorder="1" applyAlignment="1"/>
    <xf numFmtId="164" fontId="0" fillId="14" borderId="18" xfId="0" applyNumberFormat="1" applyFill="1" applyBorder="1"/>
    <xf numFmtId="1" fontId="0" fillId="14" borderId="32" xfId="0" applyNumberFormat="1" applyFill="1" applyBorder="1" applyAlignment="1">
      <alignment horizontal="center"/>
    </xf>
    <xf numFmtId="1" fontId="0" fillId="14" borderId="12" xfId="0" applyNumberFormat="1" applyFill="1" applyBorder="1" applyAlignment="1">
      <alignment horizontal="center"/>
    </xf>
    <xf numFmtId="0" fontId="0" fillId="14" borderId="42" xfId="0" applyFont="1" applyFill="1" applyBorder="1" applyAlignment="1">
      <alignment horizontal="center"/>
    </xf>
    <xf numFmtId="1" fontId="0" fillId="14" borderId="18" xfId="0" applyNumberFormat="1" applyFill="1" applyBorder="1" applyAlignment="1">
      <alignment horizontal="right"/>
    </xf>
    <xf numFmtId="0" fontId="0" fillId="14" borderId="35" xfId="0" applyFont="1" applyFill="1" applyBorder="1" applyAlignment="1">
      <alignment horizontal="center"/>
    </xf>
    <xf numFmtId="0" fontId="23" fillId="14" borderId="0" xfId="0" applyFont="1" applyFill="1" applyAlignment="1">
      <alignment horizontal="center"/>
    </xf>
    <xf numFmtId="164" fontId="5" fillId="14" borderId="12" xfId="78" applyNumberFormat="1" applyFill="1" applyBorder="1" applyAlignment="1">
      <alignment horizontal="right"/>
    </xf>
    <xf numFmtId="164" fontId="0" fillId="14" borderId="12" xfId="0" applyNumberFormat="1" applyFill="1" applyBorder="1"/>
    <xf numFmtId="164" fontId="0" fillId="14" borderId="12" xfId="0" applyNumberFormat="1" applyFill="1" applyBorder="1" applyAlignment="1">
      <alignment horizontal="right"/>
    </xf>
    <xf numFmtId="0" fontId="9" fillId="14" borderId="11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2" fontId="0" fillId="14" borderId="0" xfId="0" applyNumberFormat="1" applyFill="1"/>
    <xf numFmtId="2" fontId="0" fillId="14" borderId="0" xfId="0" applyNumberFormat="1" applyFill="1" applyAlignment="1">
      <alignment horizontal="right"/>
    </xf>
    <xf numFmtId="164" fontId="11" fillId="14" borderId="0" xfId="0" applyNumberFormat="1" applyFont="1" applyFill="1" applyAlignment="1">
      <alignment horizontal="right"/>
    </xf>
    <xf numFmtId="2" fontId="11" fillId="14" borderId="0" xfId="0" applyNumberFormat="1" applyFont="1" applyFill="1" applyAlignment="1">
      <alignment horizontal="right"/>
    </xf>
    <xf numFmtId="0" fontId="0" fillId="14" borderId="6" xfId="0" applyFill="1" applyBorder="1"/>
    <xf numFmtId="0" fontId="11" fillId="14" borderId="6" xfId="0" applyFont="1" applyFill="1" applyBorder="1" applyAlignment="1">
      <alignment horizontal="center"/>
    </xf>
    <xf numFmtId="2" fontId="14" fillId="14" borderId="6" xfId="0" applyNumberFormat="1" applyFont="1" applyFill="1" applyBorder="1" applyAlignment="1">
      <alignment horizontal="right"/>
    </xf>
    <xf numFmtId="0" fontId="14" fillId="14" borderId="6" xfId="0" applyFont="1" applyFill="1" applyBorder="1"/>
    <xf numFmtId="2" fontId="0" fillId="14" borderId="6" xfId="0" applyNumberFormat="1" applyFill="1" applyBorder="1"/>
    <xf numFmtId="2" fontId="11" fillId="7" borderId="0" xfId="0" applyNumberFormat="1" applyFont="1" applyFill="1" applyAlignment="1">
      <alignment horizontal="right"/>
    </xf>
    <xf numFmtId="1" fontId="19" fillId="15" borderId="12" xfId="0" applyNumberFormat="1" applyFont="1" applyFill="1" applyBorder="1" applyAlignment="1">
      <alignment horizontal="right"/>
    </xf>
    <xf numFmtId="1" fontId="0" fillId="15" borderId="12" xfId="0" applyNumberFormat="1" applyFill="1" applyBorder="1" applyAlignment="1"/>
    <xf numFmtId="2" fontId="0" fillId="15" borderId="12" xfId="0" applyNumberFormat="1" applyFill="1" applyBorder="1" applyAlignment="1"/>
    <xf numFmtId="2" fontId="0" fillId="15" borderId="12" xfId="0" applyNumberFormat="1" applyFill="1" applyBorder="1" applyAlignment="1">
      <alignment horizontal="center"/>
    </xf>
    <xf numFmtId="164" fontId="0" fillId="15" borderId="12" xfId="0" applyNumberFormat="1" applyFill="1" applyBorder="1" applyAlignment="1">
      <alignment horizontal="center"/>
    </xf>
    <xf numFmtId="2" fontId="0" fillId="7" borderId="0" xfId="0" applyNumberFormat="1" applyFill="1" applyAlignment="1">
      <alignment horizontal="right"/>
    </xf>
    <xf numFmtId="0" fontId="11" fillId="0" borderId="37" xfId="0" applyFont="1" applyFill="1" applyBorder="1" applyAlignment="1">
      <alignment horizontal="center"/>
    </xf>
    <xf numFmtId="0" fontId="11" fillId="0" borderId="0" xfId="0" applyFont="1" applyBorder="1" applyAlignment="1"/>
    <xf numFmtId="1" fontId="0" fillId="0" borderId="5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4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2" fontId="0" fillId="14" borderId="12" xfId="0" applyNumberFormat="1" applyFill="1" applyBorder="1"/>
    <xf numFmtId="1" fontId="0" fillId="14" borderId="12" xfId="0" applyNumberFormat="1" applyFill="1" applyBorder="1"/>
    <xf numFmtId="164" fontId="11" fillId="14" borderId="0" xfId="0" applyNumberFormat="1" applyFont="1" applyFill="1"/>
    <xf numFmtId="164" fontId="11" fillId="0" borderId="0" xfId="0" applyNumberFormat="1" applyFont="1" applyFill="1"/>
    <xf numFmtId="164" fontId="11" fillId="14" borderId="6" xfId="0" applyNumberFormat="1" applyFont="1" applyFill="1" applyBorder="1"/>
    <xf numFmtId="0" fontId="11" fillId="14" borderId="34" xfId="0" applyFont="1" applyFill="1" applyBorder="1" applyAlignment="1">
      <alignment horizontal="center"/>
    </xf>
    <xf numFmtId="0" fontId="11" fillId="14" borderId="18" xfId="0" applyFont="1" applyFill="1" applyBorder="1" applyAlignment="1">
      <alignment horizontal="center"/>
    </xf>
    <xf numFmtId="0" fontId="11" fillId="14" borderId="35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0" fontId="11" fillId="14" borderId="4" xfId="0" applyFont="1" applyFill="1" applyBorder="1" applyAlignment="1"/>
    <xf numFmtId="0" fontId="11" fillId="14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" xfId="0" applyFont="1" applyBorder="1"/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11" fillId="14" borderId="1" xfId="0" applyFont="1" applyFill="1" applyBorder="1"/>
    <xf numFmtId="0" fontId="11" fillId="14" borderId="11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0" fillId="14" borderId="10" xfId="0" applyFill="1" applyBorder="1"/>
    <xf numFmtId="0" fontId="9" fillId="14" borderId="10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/>
    </xf>
    <xf numFmtId="0" fontId="11" fillId="14" borderId="42" xfId="0" applyFont="1" applyFill="1" applyBorder="1" applyAlignment="1">
      <alignment horizontal="center"/>
    </xf>
    <xf numFmtId="0" fontId="11" fillId="14" borderId="10" xfId="0" applyFont="1" applyFill="1" applyBorder="1" applyAlignment="1">
      <alignment horizontal="center"/>
    </xf>
    <xf numFmtId="1" fontId="0" fillId="0" borderId="23" xfId="0" applyNumberFormat="1" applyBorder="1"/>
    <xf numFmtId="0" fontId="11" fillId="0" borderId="5" xfId="0" applyFont="1" applyFill="1" applyBorder="1" applyAlignment="1">
      <alignment horizontal="center" vertical="center"/>
    </xf>
    <xf numFmtId="1" fontId="0" fillId="0" borderId="22" xfId="0" applyNumberFormat="1" applyFont="1" applyFill="1" applyBorder="1"/>
    <xf numFmtId="1" fontId="17" fillId="0" borderId="39" xfId="0" applyNumberFormat="1" applyFont="1" applyFill="1" applyBorder="1"/>
    <xf numFmtId="1" fontId="0" fillId="0" borderId="39" xfId="0" applyNumberFormat="1" applyFont="1" applyFill="1" applyBorder="1"/>
    <xf numFmtId="2" fontId="0" fillId="0" borderId="24" xfId="0" applyNumberFormat="1" applyBorder="1"/>
    <xf numFmtId="0" fontId="11" fillId="0" borderId="0" xfId="0" applyFont="1" applyFill="1" applyBorder="1" applyAlignment="1">
      <alignment horizontal="center"/>
    </xf>
    <xf numFmtId="0" fontId="24" fillId="0" borderId="0" xfId="0" applyFont="1"/>
    <xf numFmtId="0" fontId="11" fillId="0" borderId="4" xfId="0" applyFont="1" applyFill="1" applyBorder="1" applyAlignment="1">
      <alignment horizontal="left"/>
    </xf>
    <xf numFmtId="0" fontId="0" fillId="0" borderId="8" xfId="0" applyBorder="1"/>
    <xf numFmtId="0" fontId="11" fillId="0" borderId="42" xfId="0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0" borderId="3" xfId="0" applyNumberFormat="1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/>
    <xf numFmtId="1" fontId="17" fillId="0" borderId="2" xfId="0" applyNumberFormat="1" applyFont="1" applyBorder="1" applyAlignment="1"/>
    <xf numFmtId="1" fontId="17" fillId="0" borderId="11" xfId="0" applyNumberFormat="1" applyFont="1" applyBorder="1" applyAlignment="1"/>
    <xf numFmtId="1" fontId="17" fillId="0" borderId="3" xfId="0" applyNumberFormat="1" applyFont="1" applyBorder="1" applyAlignment="1"/>
    <xf numFmtId="1" fontId="17" fillId="0" borderId="0" xfId="0" applyNumberFormat="1" applyFont="1" applyBorder="1" applyAlignment="1"/>
    <xf numFmtId="1" fontId="17" fillId="0" borderId="10" xfId="0" applyNumberFormat="1" applyFont="1" applyBorder="1" applyAlignment="1"/>
    <xf numFmtId="1" fontId="0" fillId="0" borderId="3" xfId="0" applyNumberFormat="1" applyBorder="1" applyAlignment="1"/>
    <xf numFmtId="1" fontId="0" fillId="0" borderId="0" xfId="0" applyNumberFormat="1" applyBorder="1" applyAlignment="1"/>
    <xf numFmtId="1" fontId="0" fillId="0" borderId="10" xfId="0" applyNumberFormat="1" applyBorder="1" applyAlignment="1"/>
    <xf numFmtId="1" fontId="17" fillId="0" borderId="5" xfId="0" applyNumberFormat="1" applyFont="1" applyBorder="1" applyAlignment="1"/>
    <xf numFmtId="1" fontId="17" fillId="0" borderId="6" xfId="0" applyNumberFormat="1" applyFont="1" applyBorder="1" applyAlignment="1"/>
    <xf numFmtId="0" fontId="11" fillId="0" borderId="1" xfId="0" applyFont="1" applyBorder="1" applyAlignment="1">
      <alignment horizontal="center"/>
    </xf>
    <xf numFmtId="1" fontId="19" fillId="3" borderId="3" xfId="0" applyNumberFormat="1" applyFont="1" applyFill="1" applyBorder="1"/>
    <xf numFmtId="1" fontId="11" fillId="0" borderId="0" xfId="0" applyNumberFormat="1" applyFont="1"/>
    <xf numFmtId="1" fontId="17" fillId="0" borderId="1" xfId="0" applyNumberFormat="1" applyFont="1" applyBorder="1"/>
    <xf numFmtId="1" fontId="17" fillId="0" borderId="2" xfId="0" applyNumberFormat="1" applyFont="1" applyBorder="1"/>
    <xf numFmtId="1" fontId="17" fillId="3" borderId="2" xfId="0" applyNumberFormat="1" applyFont="1" applyFill="1" applyBorder="1"/>
    <xf numFmtId="1" fontId="17" fillId="3" borderId="11" xfId="0" applyNumberFormat="1" applyFont="1" applyFill="1" applyBorder="1"/>
    <xf numFmtId="1" fontId="17" fillId="0" borderId="3" xfId="0" applyNumberFormat="1" applyFont="1" applyBorder="1"/>
    <xf numFmtId="1" fontId="17" fillId="0" borderId="0" xfId="0" applyNumberFormat="1" applyFont="1" applyBorder="1"/>
    <xf numFmtId="1" fontId="17" fillId="0" borderId="10" xfId="0" applyNumberFormat="1" applyFont="1" applyBorder="1"/>
    <xf numFmtId="1" fontId="17" fillId="0" borderId="5" xfId="0" applyNumberFormat="1" applyFont="1" applyBorder="1"/>
    <xf numFmtId="1" fontId="17" fillId="0" borderId="6" xfId="0" applyNumberFormat="1" applyFont="1" applyBorder="1"/>
    <xf numFmtId="1" fontId="17" fillId="0" borderId="9" xfId="0" applyNumberFormat="1" applyFont="1" applyBorder="1"/>
    <xf numFmtId="1" fontId="17" fillId="0" borderId="11" xfId="0" applyNumberFormat="1" applyFont="1" applyBorder="1"/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12" fillId="0" borderId="31" xfId="0" applyNumberFormat="1" applyFont="1" applyBorder="1"/>
    <xf numFmtId="1" fontId="17" fillId="0" borderId="31" xfId="0" applyNumberFormat="1" applyFont="1" applyBorder="1"/>
    <xf numFmtId="0" fontId="23" fillId="0" borderId="5" xfId="0" applyFont="1" applyBorder="1" applyAlignment="1">
      <alignment horizontal="center" vertical="center"/>
    </xf>
    <xf numFmtId="1" fontId="12" fillId="0" borderId="22" xfId="0" applyNumberFormat="1" applyFont="1" applyBorder="1"/>
    <xf numFmtId="1" fontId="17" fillId="0" borderId="39" xfId="0" applyNumberFormat="1" applyFont="1" applyBorder="1"/>
    <xf numFmtId="0" fontId="12" fillId="0" borderId="31" xfId="0" applyFont="1" applyBorder="1"/>
    <xf numFmtId="164" fontId="25" fillId="0" borderId="1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5" fillId="0" borderId="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25" fillId="0" borderId="5" xfId="0" applyNumberFormat="1" applyFont="1" applyBorder="1" applyAlignment="1">
      <alignment horizontal="center"/>
    </xf>
    <xf numFmtId="164" fontId="25" fillId="0" borderId="6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1" fontId="12" fillId="0" borderId="10" xfId="0" applyNumberFormat="1" applyFont="1" applyBorder="1"/>
    <xf numFmtId="1" fontId="12" fillId="0" borderId="9" xfId="0" applyNumberFormat="1" applyFont="1" applyBorder="1"/>
    <xf numFmtId="1" fontId="12" fillId="0" borderId="11" xfId="0" applyNumberFormat="1" applyFont="1" applyBorder="1"/>
    <xf numFmtId="0" fontId="12" fillId="0" borderId="10" xfId="0" applyFont="1" applyBorder="1"/>
    <xf numFmtId="0" fontId="12" fillId="0" borderId="9" xfId="0" applyFont="1" applyBorder="1"/>
    <xf numFmtId="1" fontId="17" fillId="0" borderId="0" xfId="0" applyNumberFormat="1" applyFont="1"/>
    <xf numFmtId="1" fontId="28" fillId="0" borderId="0" xfId="0" applyNumberFormat="1" applyFont="1" applyFill="1" applyBorder="1" applyAlignment="1">
      <alignment horizontal="center"/>
    </xf>
    <xf numFmtId="1" fontId="29" fillId="0" borderId="9" xfId="0" applyNumberFormat="1" applyFont="1" applyBorder="1" applyAlignment="1"/>
    <xf numFmtId="1" fontId="29" fillId="0" borderId="0" xfId="0" applyNumberFormat="1" applyFont="1" applyBorder="1"/>
    <xf numFmtId="1" fontId="29" fillId="0" borderId="10" xfId="0" applyNumberFormat="1" applyFont="1" applyBorder="1"/>
    <xf numFmtId="1" fontId="29" fillId="0" borderId="3" xfId="0" applyNumberFormat="1" applyFont="1" applyBorder="1"/>
    <xf numFmtId="164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2" xfId="0" applyNumberFormat="1" applyFont="1" applyBorder="1" applyAlignment="1"/>
    <xf numFmtId="2" fontId="0" fillId="0" borderId="12" xfId="0" applyNumberFormat="1" applyFont="1" applyBorder="1" applyAlignment="1"/>
    <xf numFmtId="164" fontId="0" fillId="0" borderId="12" xfId="0" applyNumberFormat="1" applyFont="1" applyBorder="1"/>
    <xf numFmtId="1" fontId="0" fillId="0" borderId="18" xfId="0" applyNumberFormat="1" applyFont="1" applyBorder="1" applyAlignment="1"/>
    <xf numFmtId="2" fontId="0" fillId="0" borderId="4" xfId="0" applyNumberFormat="1" applyFont="1" applyBorder="1" applyAlignment="1"/>
    <xf numFmtId="2" fontId="0" fillId="0" borderId="18" xfId="0" applyNumberFormat="1" applyFont="1" applyBorder="1" applyAlignment="1"/>
    <xf numFmtId="164" fontId="0" fillId="0" borderId="18" xfId="0" applyNumberFormat="1" applyFont="1" applyBorder="1"/>
    <xf numFmtId="2" fontId="0" fillId="0" borderId="0" xfId="0" applyNumberFormat="1" applyFont="1" applyBorder="1"/>
    <xf numFmtId="0" fontId="9" fillId="0" borderId="1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14" borderId="0" xfId="0" applyFill="1" applyBorder="1" applyAlignment="1">
      <alignment horizontal="center"/>
    </xf>
    <xf numFmtId="164" fontId="0" fillId="14" borderId="0" xfId="0" applyNumberFormat="1" applyFill="1" applyBorder="1"/>
    <xf numFmtId="2" fontId="0" fillId="14" borderId="0" xfId="0" applyNumberFormat="1" applyFill="1" applyBorder="1"/>
    <xf numFmtId="164" fontId="0" fillId="0" borderId="12" xfId="0" applyNumberFormat="1" applyFont="1" applyBorder="1" applyAlignment="1"/>
    <xf numFmtId="2" fontId="30" fillId="0" borderId="0" xfId="0" applyNumberFormat="1" applyFont="1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0" fillId="14" borderId="11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19" fillId="0" borderId="10" xfId="0" applyFont="1" applyBorder="1"/>
    <xf numFmtId="0" fontId="0" fillId="0" borderId="10" xfId="0" applyFill="1" applyBorder="1"/>
    <xf numFmtId="0" fontId="0" fillId="16" borderId="3" xfId="0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 vertical="center"/>
    </xf>
    <xf numFmtId="0" fontId="0" fillId="17" borderId="5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18" borderId="0" xfId="0" applyFill="1"/>
    <xf numFmtId="0" fontId="0" fillId="18" borderId="11" xfId="0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11" fillId="18" borderId="1" xfId="0" applyFont="1" applyFill="1" applyBorder="1"/>
    <xf numFmtId="0" fontId="11" fillId="18" borderId="34" xfId="0" applyFont="1" applyFill="1" applyBorder="1" applyAlignment="1">
      <alignment horizontal="center"/>
    </xf>
    <xf numFmtId="0" fontId="11" fillId="18" borderId="11" xfId="0" applyFont="1" applyFill="1" applyBorder="1" applyAlignment="1">
      <alignment horizontal="center"/>
    </xf>
    <xf numFmtId="0" fontId="11" fillId="18" borderId="9" xfId="0" applyFont="1" applyFill="1" applyBorder="1" applyAlignment="1">
      <alignment horizontal="center"/>
    </xf>
    <xf numFmtId="0" fontId="9" fillId="18" borderId="10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/>
    </xf>
    <xf numFmtId="0" fontId="11" fillId="18" borderId="42" xfId="0" applyFont="1" applyFill="1" applyBorder="1" applyAlignment="1">
      <alignment horizontal="center"/>
    </xf>
    <xf numFmtId="0" fontId="11" fillId="18" borderId="10" xfId="0" applyFont="1" applyFill="1" applyBorder="1" applyAlignment="1">
      <alignment horizontal="center"/>
    </xf>
    <xf numFmtId="0" fontId="0" fillId="18" borderId="3" xfId="0" applyFont="1" applyFill="1" applyBorder="1" applyAlignment="1">
      <alignment horizontal="center"/>
    </xf>
    <xf numFmtId="0" fontId="0" fillId="18" borderId="18" xfId="0" applyFont="1" applyFill="1" applyBorder="1"/>
    <xf numFmtId="0" fontId="0" fillId="18" borderId="1" xfId="0" applyFont="1" applyFill="1" applyBorder="1" applyAlignment="1">
      <alignment horizontal="center"/>
    </xf>
    <xf numFmtId="0" fontId="0" fillId="18" borderId="4" xfId="0" applyFont="1" applyFill="1" applyBorder="1"/>
    <xf numFmtId="0" fontId="17" fillId="18" borderId="18" xfId="0" applyFont="1" applyFill="1" applyBorder="1"/>
    <xf numFmtId="0" fontId="0" fillId="18" borderId="3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/>
    </xf>
    <xf numFmtId="0" fontId="9" fillId="18" borderId="0" xfId="0" applyFont="1" applyFill="1" applyBorder="1" applyAlignment="1">
      <alignment horizontal="center"/>
    </xf>
    <xf numFmtId="164" fontId="11" fillId="18" borderId="0" xfId="0" applyNumberFormat="1" applyFont="1" applyFill="1"/>
    <xf numFmtId="164" fontId="0" fillId="18" borderId="0" xfId="0" applyNumberFormat="1" applyFill="1"/>
    <xf numFmtId="0" fontId="17" fillId="18" borderId="4" xfId="0" applyFont="1" applyFill="1" applyBorder="1"/>
    <xf numFmtId="164" fontId="0" fillId="18" borderId="1" xfId="0" applyNumberFormat="1" applyFill="1" applyBorder="1" applyAlignment="1">
      <alignment horizontal="left"/>
    </xf>
    <xf numFmtId="164" fontId="0" fillId="18" borderId="2" xfId="0" applyNumberFormat="1" applyFill="1" applyBorder="1" applyAlignment="1">
      <alignment horizontal="left"/>
    </xf>
    <xf numFmtId="164" fontId="0" fillId="18" borderId="11" xfId="0" applyNumberFormat="1" applyFill="1" applyBorder="1" applyAlignment="1">
      <alignment horizontal="left"/>
    </xf>
    <xf numFmtId="164" fontId="0" fillId="18" borderId="3" xfId="0" applyNumberFormat="1" applyFill="1" applyBorder="1" applyAlignment="1">
      <alignment horizontal="left"/>
    </xf>
    <xf numFmtId="164" fontId="0" fillId="18" borderId="0" xfId="0" applyNumberFormat="1" applyFill="1" applyBorder="1" applyAlignment="1">
      <alignment horizontal="left"/>
    </xf>
    <xf numFmtId="164" fontId="0" fillId="18" borderId="10" xfId="0" applyNumberFormat="1" applyFill="1" applyBorder="1" applyAlignment="1">
      <alignment horizontal="left"/>
    </xf>
    <xf numFmtId="164" fontId="0" fillId="18" borderId="5" xfId="0" applyNumberFormat="1" applyFill="1" applyBorder="1" applyAlignment="1">
      <alignment horizontal="left"/>
    </xf>
    <xf numFmtId="164" fontId="0" fillId="18" borderId="6" xfId="0" applyNumberFormat="1" applyFill="1" applyBorder="1" applyAlignment="1">
      <alignment horizontal="left"/>
    </xf>
    <xf numFmtId="164" fontId="0" fillId="18" borderId="9" xfId="0" applyNumberFormat="1" applyFill="1" applyBorder="1" applyAlignment="1">
      <alignment horizontal="left"/>
    </xf>
    <xf numFmtId="0" fontId="0" fillId="18" borderId="11" xfId="0" applyFill="1" applyBorder="1" applyAlignment="1">
      <alignment horizontal="left"/>
    </xf>
    <xf numFmtId="0" fontId="0" fillId="18" borderId="10" xfId="0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164" fontId="11" fillId="18" borderId="0" xfId="0" applyNumberFormat="1" applyFont="1" applyFill="1" applyAlignment="1">
      <alignment horizontal="left"/>
    </xf>
    <xf numFmtId="0" fontId="0" fillId="18" borderId="3" xfId="0" applyFont="1" applyFill="1" applyBorder="1" applyAlignment="1">
      <alignment horizontal="left"/>
    </xf>
    <xf numFmtId="0" fontId="0" fillId="18" borderId="4" xfId="0" applyFont="1" applyFill="1" applyBorder="1" applyAlignment="1">
      <alignment horizontal="left"/>
    </xf>
    <xf numFmtId="0" fontId="0" fillId="18" borderId="0" xfId="0" applyFill="1" applyAlignment="1">
      <alignment horizontal="left"/>
    </xf>
    <xf numFmtId="0" fontId="0" fillId="18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7" fillId="18" borderId="4" xfId="0" applyFont="1" applyFill="1" applyBorder="1" applyAlignment="1">
      <alignment horizontal="left"/>
    </xf>
    <xf numFmtId="0" fontId="0" fillId="18" borderId="3" xfId="0" applyFont="1" applyFill="1" applyBorder="1" applyAlignment="1">
      <alignment horizontal="left" vertical="center"/>
    </xf>
    <xf numFmtId="0" fontId="0" fillId="18" borderId="5" xfId="0" applyFont="1" applyFill="1" applyBorder="1" applyAlignment="1">
      <alignment horizontal="left"/>
    </xf>
    <xf numFmtId="0" fontId="9" fillId="18" borderId="0" xfId="0" applyFont="1" applyFill="1" applyBorder="1" applyAlignment="1">
      <alignment horizontal="left"/>
    </xf>
    <xf numFmtId="0" fontId="11" fillId="18" borderId="6" xfId="0" applyFont="1" applyFill="1" applyBorder="1" applyAlignment="1">
      <alignment horizontal="left"/>
    </xf>
    <xf numFmtId="0" fontId="11" fillId="18" borderId="0" xfId="0" applyFont="1" applyFill="1" applyAlignment="1">
      <alignment horizontal="left"/>
    </xf>
    <xf numFmtId="164" fontId="0" fillId="18" borderId="0" xfId="0" applyNumberFormat="1" applyFill="1" applyAlignment="1">
      <alignment horizontal="left"/>
    </xf>
    <xf numFmtId="0" fontId="0" fillId="18" borderId="6" xfId="0" applyFill="1" applyBorder="1" applyAlignment="1">
      <alignment horizontal="left"/>
    </xf>
    <xf numFmtId="164" fontId="0" fillId="14" borderId="1" xfId="0" applyNumberFormat="1" applyFill="1" applyBorder="1" applyAlignment="1">
      <alignment horizontal="left"/>
    </xf>
    <xf numFmtId="164" fontId="0" fillId="14" borderId="2" xfId="0" applyNumberFormat="1" applyFill="1" applyBorder="1" applyAlignment="1">
      <alignment horizontal="left"/>
    </xf>
    <xf numFmtId="164" fontId="0" fillId="14" borderId="11" xfId="0" applyNumberFormat="1" applyFill="1" applyBorder="1" applyAlignment="1">
      <alignment horizontal="left"/>
    </xf>
    <xf numFmtId="164" fontId="0" fillId="14" borderId="3" xfId="0" applyNumberFormat="1" applyFill="1" applyBorder="1" applyAlignment="1">
      <alignment horizontal="left"/>
    </xf>
    <xf numFmtId="164" fontId="0" fillId="14" borderId="0" xfId="0" applyNumberFormat="1" applyFill="1" applyBorder="1" applyAlignment="1">
      <alignment horizontal="left"/>
    </xf>
    <xf numFmtId="164" fontId="0" fillId="14" borderId="10" xfId="0" applyNumberFormat="1" applyFill="1" applyBorder="1" applyAlignment="1">
      <alignment horizontal="left"/>
    </xf>
    <xf numFmtId="164" fontId="0" fillId="14" borderId="5" xfId="0" applyNumberFormat="1" applyFill="1" applyBorder="1" applyAlignment="1">
      <alignment horizontal="left"/>
    </xf>
    <xf numFmtId="164" fontId="0" fillId="14" borderId="6" xfId="0" applyNumberFormat="1" applyFill="1" applyBorder="1" applyAlignment="1">
      <alignment horizontal="left"/>
    </xf>
    <xf numFmtId="164" fontId="0" fillId="14" borderId="9" xfId="0" applyNumberFormat="1" applyFill="1" applyBorder="1" applyAlignment="1">
      <alignment horizontal="left"/>
    </xf>
    <xf numFmtId="164" fontId="11" fillId="14" borderId="0" xfId="0" applyNumberFormat="1" applyFont="1" applyFill="1" applyAlignment="1">
      <alignment horizontal="left"/>
    </xf>
    <xf numFmtId="0" fontId="0" fillId="14" borderId="11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0" fillId="14" borderId="9" xfId="0" applyFill="1" applyBorder="1" applyAlignment="1">
      <alignment horizontal="left"/>
    </xf>
    <xf numFmtId="164" fontId="0" fillId="7" borderId="6" xfId="0" applyNumberFormat="1" applyFill="1" applyBorder="1" applyAlignment="1">
      <alignment horizontal="left"/>
    </xf>
    <xf numFmtId="0" fontId="0" fillId="14" borderId="6" xfId="0" applyFill="1" applyBorder="1" applyAlignment="1">
      <alignment horizontal="left"/>
    </xf>
    <xf numFmtId="164" fontId="0" fillId="14" borderId="0" xfId="0" applyNumberFormat="1" applyFill="1" applyAlignment="1">
      <alignment horizontal="left"/>
    </xf>
    <xf numFmtId="0" fontId="0" fillId="14" borderId="0" xfId="0" applyFill="1" applyAlignment="1">
      <alignment horizontal="left"/>
    </xf>
    <xf numFmtId="0" fontId="0" fillId="18" borderId="0" xfId="0" applyFill="1" applyBorder="1"/>
    <xf numFmtId="0" fontId="0" fillId="18" borderId="0" xfId="0" applyFont="1" applyFill="1" applyBorder="1" applyAlignment="1">
      <alignment horizontal="center"/>
    </xf>
    <xf numFmtId="0" fontId="18" fillId="18" borderId="7" xfId="0" applyFont="1" applyFill="1" applyBorder="1" applyAlignment="1">
      <alignment horizontal="center"/>
    </xf>
    <xf numFmtId="0" fontId="9" fillId="18" borderId="18" xfId="0" applyFont="1" applyFill="1" applyBorder="1" applyAlignment="1">
      <alignment horizontal="center"/>
    </xf>
    <xf numFmtId="0" fontId="11" fillId="18" borderId="34" xfId="0" applyFont="1" applyFill="1" applyBorder="1"/>
    <xf numFmtId="0" fontId="11" fillId="18" borderId="0" xfId="0" applyFont="1" applyFill="1" applyBorder="1"/>
    <xf numFmtId="0" fontId="11" fillId="18" borderId="41" xfId="0" applyFont="1" applyFill="1" applyBorder="1" applyAlignment="1">
      <alignment horizontal="center"/>
    </xf>
    <xf numFmtId="0" fontId="9" fillId="18" borderId="2" xfId="0" applyFont="1" applyFill="1" applyBorder="1" applyAlignment="1">
      <alignment horizontal="center"/>
    </xf>
    <xf numFmtId="0" fontId="9" fillId="18" borderId="34" xfId="0" applyFont="1" applyFill="1" applyBorder="1" applyAlignment="1">
      <alignment horizontal="center"/>
    </xf>
    <xf numFmtId="1" fontId="0" fillId="18" borderId="4" xfId="0" applyNumberFormat="1" applyFont="1" applyFill="1" applyBorder="1" applyAlignment="1">
      <alignment horizontal="center"/>
    </xf>
    <xf numFmtId="164" fontId="0" fillId="18" borderId="12" xfId="0" applyNumberFormat="1" applyFill="1" applyBorder="1" applyAlignment="1"/>
    <xf numFmtId="1" fontId="0" fillId="18" borderId="5" xfId="0" applyNumberFormat="1" applyFont="1" applyFill="1" applyBorder="1" applyAlignment="1">
      <alignment horizontal="center"/>
    </xf>
    <xf numFmtId="164" fontId="5" fillId="18" borderId="12" xfId="78" applyNumberFormat="1" applyFill="1" applyBorder="1" applyAlignment="1">
      <alignment horizontal="right"/>
    </xf>
    <xf numFmtId="164" fontId="5" fillId="18" borderId="0" xfId="78" applyNumberFormat="1" applyFill="1" applyBorder="1" applyAlignment="1">
      <alignment horizontal="right"/>
    </xf>
    <xf numFmtId="1" fontId="17" fillId="18" borderId="4" xfId="0" applyNumberFormat="1" applyFont="1" applyFill="1" applyBorder="1" applyAlignment="1">
      <alignment horizontal="center"/>
    </xf>
    <xf numFmtId="164" fontId="0" fillId="18" borderId="12" xfId="0" applyNumberFormat="1" applyFill="1" applyBorder="1" applyAlignment="1">
      <alignment horizontal="right"/>
    </xf>
    <xf numFmtId="164" fontId="0" fillId="18" borderId="0" xfId="0" applyNumberFormat="1" applyFill="1" applyBorder="1" applyAlignment="1">
      <alignment horizontal="right"/>
    </xf>
    <xf numFmtId="164" fontId="0" fillId="18" borderId="0" xfId="0" applyNumberFormat="1" applyFill="1" applyAlignment="1">
      <alignment horizontal="right"/>
    </xf>
    <xf numFmtId="0" fontId="18" fillId="18" borderId="18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34" xfId="0" applyFill="1" applyBorder="1"/>
    <xf numFmtId="0" fontId="0" fillId="18" borderId="41" xfId="0" applyFill="1" applyBorder="1" applyAlignment="1">
      <alignment horizontal="center"/>
    </xf>
    <xf numFmtId="1" fontId="0" fillId="18" borderId="18" xfId="0" applyNumberFormat="1" applyFont="1" applyFill="1" applyBorder="1" applyAlignment="1">
      <alignment horizontal="center"/>
    </xf>
    <xf numFmtId="164" fontId="0" fillId="18" borderId="24" xfId="0" applyNumberFormat="1" applyFill="1" applyBorder="1" applyAlignment="1">
      <alignment horizontal="center"/>
    </xf>
    <xf numFmtId="0" fontId="0" fillId="18" borderId="34" xfId="0" applyFont="1" applyFill="1" applyBorder="1" applyAlignment="1">
      <alignment horizontal="center"/>
    </xf>
    <xf numFmtId="0" fontId="0" fillId="18" borderId="8" xfId="0" applyFont="1" applyFill="1" applyBorder="1"/>
    <xf numFmtId="164" fontId="5" fillId="18" borderId="18" xfId="78" applyNumberFormat="1" applyFill="1" applyBorder="1" applyAlignment="1">
      <alignment horizontal="right"/>
    </xf>
    <xf numFmtId="0" fontId="0" fillId="18" borderId="42" xfId="0" applyFont="1" applyFill="1" applyBorder="1" applyAlignment="1">
      <alignment horizontal="center"/>
    </xf>
    <xf numFmtId="164" fontId="0" fillId="18" borderId="18" xfId="0" applyNumberFormat="1" applyFill="1" applyBorder="1" applyAlignment="1">
      <alignment horizontal="right"/>
    </xf>
    <xf numFmtId="2" fontId="0" fillId="18" borderId="12" xfId="0" applyNumberFormat="1" applyFill="1" applyBorder="1" applyAlignment="1">
      <alignment horizontal="center"/>
    </xf>
    <xf numFmtId="0" fontId="0" fillId="18" borderId="35" xfId="0" applyFont="1" applyFill="1" applyBorder="1" applyAlignment="1">
      <alignment horizontal="center"/>
    </xf>
    <xf numFmtId="2" fontId="0" fillId="18" borderId="0" xfId="0" applyNumberFormat="1" applyFill="1"/>
    <xf numFmtId="0" fontId="11" fillId="14" borderId="34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/>
    </xf>
    <xf numFmtId="0" fontId="11" fillId="14" borderId="35" xfId="0" applyFont="1" applyFill="1" applyBorder="1" applyAlignment="1">
      <alignment horizontal="center" vertical="center"/>
    </xf>
    <xf numFmtId="1" fontId="0" fillId="14" borderId="22" xfId="0" applyNumberFormat="1" applyFont="1" applyFill="1" applyBorder="1"/>
    <xf numFmtId="1" fontId="0" fillId="14" borderId="31" xfId="0" applyNumberFormat="1" applyFont="1" applyFill="1" applyBorder="1"/>
    <xf numFmtId="1" fontId="17" fillId="14" borderId="39" xfId="0" applyNumberFormat="1" applyFont="1" applyFill="1" applyBorder="1"/>
    <xf numFmtId="1" fontId="17" fillId="14" borderId="12" xfId="0" applyNumberFormat="1" applyFont="1" applyFill="1" applyBorder="1"/>
    <xf numFmtId="2" fontId="11" fillId="14" borderId="0" xfId="0" applyNumberFormat="1" applyFont="1" applyFill="1"/>
    <xf numFmtId="0" fontId="11" fillId="18" borderId="0" xfId="0" applyFont="1" applyFill="1" applyBorder="1" applyAlignment="1">
      <alignment horizontal="center"/>
    </xf>
    <xf numFmtId="0" fontId="11" fillId="18" borderId="34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7" xfId="0" applyFont="1" applyFill="1" applyBorder="1" applyAlignment="1">
      <alignment horizontal="center"/>
    </xf>
    <xf numFmtId="0" fontId="11" fillId="18" borderId="8" xfId="0" applyFont="1" applyFill="1" applyBorder="1" applyAlignment="1">
      <alignment horizontal="center"/>
    </xf>
    <xf numFmtId="0" fontId="11" fillId="18" borderId="35" xfId="0" applyFont="1" applyFill="1" applyBorder="1" applyAlignment="1">
      <alignment horizontal="center" vertical="center"/>
    </xf>
    <xf numFmtId="0" fontId="11" fillId="18" borderId="18" xfId="0" applyFont="1" applyFill="1" applyBorder="1" applyAlignment="1">
      <alignment horizontal="center"/>
    </xf>
    <xf numFmtId="1" fontId="0" fillId="18" borderId="31" xfId="0" applyNumberFormat="1" applyFont="1" applyFill="1" applyBorder="1"/>
    <xf numFmtId="2" fontId="11" fillId="18" borderId="0" xfId="0" applyNumberFormat="1" applyFont="1" applyFill="1"/>
    <xf numFmtId="1" fontId="0" fillId="14" borderId="49" xfId="0" applyNumberFormat="1" applyFont="1" applyFill="1" applyBorder="1"/>
    <xf numFmtId="1" fontId="0" fillId="14" borderId="50" xfId="0" applyNumberFormat="1" applyFont="1" applyFill="1" applyBorder="1"/>
    <xf numFmtId="1" fontId="17" fillId="14" borderId="28" xfId="0" applyNumberFormat="1" applyFont="1" applyFill="1" applyBorder="1"/>
    <xf numFmtId="1" fontId="0" fillId="14" borderId="21" xfId="0" applyNumberFormat="1" applyFont="1" applyFill="1" applyBorder="1"/>
    <xf numFmtId="1" fontId="0" fillId="14" borderId="5" xfId="0" applyNumberFormat="1" applyFont="1" applyFill="1" applyBorder="1"/>
    <xf numFmtId="1" fontId="0" fillId="14" borderId="25" xfId="0" applyNumberFormat="1" applyFont="1" applyFill="1" applyBorder="1"/>
    <xf numFmtId="0" fontId="11" fillId="18" borderId="3" xfId="0" applyFont="1" applyFill="1" applyBorder="1" applyAlignment="1">
      <alignment horizontal="center" vertical="center"/>
    </xf>
    <xf numFmtId="1" fontId="0" fillId="18" borderId="13" xfId="0" applyNumberFormat="1" applyFont="1" applyFill="1" applyBorder="1"/>
    <xf numFmtId="1" fontId="0" fillId="18" borderId="14" xfId="0" applyNumberFormat="1" applyFont="1" applyFill="1" applyBorder="1"/>
    <xf numFmtId="1" fontId="0" fillId="18" borderId="43" xfId="0" applyNumberFormat="1" applyFont="1" applyFill="1" applyBorder="1"/>
    <xf numFmtId="1" fontId="0" fillId="18" borderId="52" xfId="0" applyNumberFormat="1" applyFont="1" applyFill="1" applyBorder="1"/>
    <xf numFmtId="1" fontId="0" fillId="18" borderId="53" xfId="0" applyNumberFormat="1" applyFont="1" applyFill="1" applyBorder="1"/>
    <xf numFmtId="1" fontId="0" fillId="14" borderId="13" xfId="0" applyNumberFormat="1" applyFont="1" applyFill="1" applyBorder="1"/>
    <xf numFmtId="1" fontId="0" fillId="14" borderId="14" xfId="0" applyNumberFormat="1" applyFont="1" applyFill="1" applyBorder="1"/>
    <xf numFmtId="1" fontId="17" fillId="14" borderId="16" xfId="0" applyNumberFormat="1" applyFont="1" applyFill="1" applyBorder="1"/>
    <xf numFmtId="1" fontId="0" fillId="14" borderId="43" xfId="0" applyNumberFormat="1" applyFont="1" applyFill="1" applyBorder="1"/>
    <xf numFmtId="1" fontId="0" fillId="14" borderId="52" xfId="0" applyNumberFormat="1" applyFont="1" applyFill="1" applyBorder="1"/>
    <xf numFmtId="1" fontId="0" fillId="14" borderId="53" xfId="0" applyNumberFormat="1" applyFont="1" applyFill="1" applyBorder="1"/>
    <xf numFmtId="0" fontId="0" fillId="14" borderId="18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11" fillId="18" borderId="4" xfId="0" applyFont="1" applyFill="1" applyBorder="1" applyAlignment="1"/>
    <xf numFmtId="0" fontId="0" fillId="18" borderId="34" xfId="0" applyFill="1" applyBorder="1" applyAlignment="1">
      <alignment horizontal="center"/>
    </xf>
    <xf numFmtId="0" fontId="0" fillId="18" borderId="42" xfId="0" applyFill="1" applyBorder="1" applyAlignment="1">
      <alignment horizontal="center"/>
    </xf>
    <xf numFmtId="164" fontId="0" fillId="18" borderId="12" xfId="0" applyNumberFormat="1" applyFill="1" applyBorder="1"/>
    <xf numFmtId="0" fontId="11" fillId="18" borderId="6" xfId="0" applyFont="1" applyFill="1" applyBorder="1" applyAlignment="1">
      <alignment horizontal="center"/>
    </xf>
    <xf numFmtId="164" fontId="11" fillId="18" borderId="6" xfId="0" applyNumberFormat="1" applyFont="1" applyFill="1" applyBorder="1"/>
    <xf numFmtId="0" fontId="11" fillId="18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2" xfId="0" applyFont="1" applyFill="1" applyBorder="1"/>
    <xf numFmtId="164" fontId="0" fillId="18" borderId="12" xfId="0" applyNumberFormat="1" applyFont="1" applyFill="1" applyBorder="1"/>
    <xf numFmtId="0" fontId="17" fillId="18" borderId="12" xfId="0" applyFont="1" applyFill="1" applyBorder="1"/>
    <xf numFmtId="2" fontId="11" fillId="14" borderId="6" xfId="0" applyNumberFormat="1" applyFont="1" applyFill="1" applyBorder="1"/>
    <xf numFmtId="0" fontId="0" fillId="14" borderId="12" xfId="0" applyFont="1" applyFill="1" applyBorder="1"/>
    <xf numFmtId="164" fontId="0" fillId="14" borderId="12" xfId="0" applyNumberFormat="1" applyFont="1" applyFill="1" applyBorder="1"/>
    <xf numFmtId="0" fontId="0" fillId="0" borderId="42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0" fillId="0" borderId="12" xfId="0" applyFont="1" applyFill="1" applyBorder="1"/>
    <xf numFmtId="1" fontId="12" fillId="0" borderId="12" xfId="0" applyNumberFormat="1" applyFont="1" applyBorder="1"/>
    <xf numFmtId="1" fontId="0" fillId="15" borderId="12" xfId="0" applyNumberFormat="1" applyFill="1" applyBorder="1"/>
    <xf numFmtId="1" fontId="0" fillId="0" borderId="12" xfId="0" applyNumberFormat="1" applyFont="1" applyBorder="1"/>
    <xf numFmtId="164" fontId="0" fillId="18" borderId="15" xfId="0" applyNumberFormat="1" applyFont="1" applyFill="1" applyBorder="1"/>
    <xf numFmtId="164" fontId="17" fillId="18" borderId="17" xfId="0" applyNumberFormat="1" applyFont="1" applyFill="1" applyBorder="1"/>
    <xf numFmtId="164" fontId="0" fillId="18" borderId="44" xfId="0" applyNumberFormat="1" applyFont="1" applyFill="1" applyBorder="1"/>
    <xf numFmtId="164" fontId="0" fillId="18" borderId="51" xfId="0" applyNumberFormat="1" applyFont="1" applyFill="1" applyBorder="1"/>
    <xf numFmtId="164" fontId="0" fillId="18" borderId="49" xfId="0" applyNumberFormat="1" applyFont="1" applyFill="1" applyBorder="1"/>
    <xf numFmtId="164" fontId="0" fillId="18" borderId="50" xfId="0" applyNumberFormat="1" applyFont="1" applyFill="1" applyBorder="1"/>
    <xf numFmtId="164" fontId="17" fillId="18" borderId="28" xfId="0" applyNumberFormat="1" applyFont="1" applyFill="1" applyBorder="1"/>
    <xf numFmtId="164" fontId="17" fillId="18" borderId="39" xfId="0" applyNumberFormat="1" applyFont="1" applyFill="1" applyBorder="1"/>
    <xf numFmtId="164" fontId="0" fillId="18" borderId="21" xfId="0" applyNumberFormat="1" applyFont="1" applyFill="1" applyBorder="1"/>
    <xf numFmtId="164" fontId="0" fillId="18" borderId="22" xfId="0" applyNumberFormat="1" applyFont="1" applyFill="1" applyBorder="1"/>
    <xf numFmtId="164" fontId="0" fillId="18" borderId="5" xfId="0" applyNumberFormat="1" applyFont="1" applyFill="1" applyBorder="1"/>
    <xf numFmtId="164" fontId="0" fillId="18" borderId="25" xfId="0" applyNumberFormat="1" applyFont="1" applyFill="1" applyBorder="1"/>
    <xf numFmtId="0" fontId="0" fillId="18" borderId="18" xfId="0" applyFill="1" applyBorder="1"/>
    <xf numFmtId="0" fontId="0" fillId="18" borderId="12" xfId="0" applyFill="1" applyBorder="1"/>
    <xf numFmtId="0" fontId="19" fillId="18" borderId="12" xfId="0" applyFont="1" applyFill="1" applyBorder="1"/>
    <xf numFmtId="164" fontId="0" fillId="18" borderId="31" xfId="0" applyNumberFormat="1" applyFont="1" applyFill="1" applyBorder="1"/>
    <xf numFmtId="0" fontId="0" fillId="18" borderId="31" xfId="0" applyFont="1" applyFill="1" applyBorder="1"/>
    <xf numFmtId="164" fontId="0" fillId="18" borderId="31" xfId="0" applyNumberFormat="1" applyFill="1" applyBorder="1"/>
    <xf numFmtId="0" fontId="0" fillId="18" borderId="31" xfId="0" applyFill="1" applyBorder="1"/>
    <xf numFmtId="0" fontId="0" fillId="14" borderId="18" xfId="0" applyFill="1" applyBorder="1"/>
    <xf numFmtId="164" fontId="0" fillId="14" borderId="31" xfId="0" applyNumberFormat="1" applyFont="1" applyFill="1" applyBorder="1"/>
    <xf numFmtId="0" fontId="0" fillId="14" borderId="31" xfId="0" applyFont="1" applyFill="1" applyBorder="1"/>
    <xf numFmtId="164" fontId="0" fillId="14" borderId="31" xfId="0" applyNumberFormat="1" applyFill="1" applyBorder="1"/>
    <xf numFmtId="0" fontId="0" fillId="14" borderId="31" xfId="0" applyFill="1" applyBorder="1"/>
    <xf numFmtId="0" fontId="17" fillId="14" borderId="12" xfId="0" applyFont="1" applyFill="1" applyBorder="1"/>
    <xf numFmtId="0" fontId="0" fillId="14" borderId="12" xfId="0" applyFill="1" applyBorder="1"/>
    <xf numFmtId="0" fontId="19" fillId="14" borderId="12" xfId="0" applyFont="1" applyFill="1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164" fontId="0" fillId="10" borderId="0" xfId="0" applyNumberFormat="1" applyFill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0" fillId="10" borderId="0" xfId="0" applyNumberFormat="1" applyFill="1" applyAlignment="1">
      <alignment horizontal="left"/>
    </xf>
    <xf numFmtId="164" fontId="0" fillId="14" borderId="1" xfId="0" applyNumberFormat="1" applyFill="1" applyBorder="1" applyAlignment="1">
      <alignment horizontal="center"/>
    </xf>
    <xf numFmtId="164" fontId="0" fillId="14" borderId="2" xfId="0" applyNumberFormat="1" applyFill="1" applyBorder="1" applyAlignment="1">
      <alignment horizontal="center"/>
    </xf>
    <xf numFmtId="164" fontId="0" fillId="14" borderId="3" xfId="0" applyNumberFormat="1" applyFill="1" applyBorder="1" applyAlignment="1">
      <alignment horizontal="center"/>
    </xf>
    <xf numFmtId="164" fontId="0" fillId="14" borderId="0" xfId="0" applyNumberFormat="1" applyFill="1" applyBorder="1" applyAlignment="1">
      <alignment horizontal="center"/>
    </xf>
    <xf numFmtId="164" fontId="0" fillId="14" borderId="5" xfId="0" applyNumberFormat="1" applyFill="1" applyBorder="1" applyAlignment="1">
      <alignment horizontal="center"/>
    </xf>
    <xf numFmtId="164" fontId="0" fillId="14" borderId="6" xfId="0" applyNumberFormat="1" applyFill="1" applyBorder="1" applyAlignment="1">
      <alignment horizontal="center"/>
    </xf>
    <xf numFmtId="164" fontId="11" fillId="14" borderId="0" xfId="0" applyNumberFormat="1" applyFont="1" applyFill="1" applyAlignment="1">
      <alignment horizontal="center"/>
    </xf>
    <xf numFmtId="164" fontId="0" fillId="14" borderId="0" xfId="0" applyNumberFormat="1" applyFill="1" applyAlignment="1">
      <alignment horizontal="center"/>
    </xf>
    <xf numFmtId="164" fontId="0" fillId="10" borderId="6" xfId="0" applyNumberFormat="1" applyFill="1" applyBorder="1" applyAlignment="1">
      <alignment horizontal="left"/>
    </xf>
    <xf numFmtId="0" fontId="11" fillId="19" borderId="2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/>
    </xf>
    <xf numFmtId="1" fontId="0" fillId="19" borderId="2" xfId="0" applyNumberFormat="1" applyFont="1" applyFill="1" applyBorder="1"/>
    <xf numFmtId="164" fontId="0" fillId="19" borderId="11" xfId="0" applyNumberFormat="1" applyFill="1" applyBorder="1" applyAlignment="1">
      <alignment horizontal="center"/>
    </xf>
    <xf numFmtId="1" fontId="17" fillId="19" borderId="0" xfId="0" applyNumberFormat="1" applyFont="1" applyFill="1" applyBorder="1"/>
    <xf numFmtId="164" fontId="0" fillId="19" borderId="10" xfId="0" applyNumberFormat="1" applyFill="1" applyBorder="1" applyAlignment="1">
      <alignment horizontal="center"/>
    </xf>
    <xf numFmtId="1" fontId="0" fillId="19" borderId="0" xfId="0" applyNumberFormat="1" applyFont="1" applyFill="1" applyBorder="1"/>
    <xf numFmtId="1" fontId="0" fillId="19" borderId="6" xfId="0" applyNumberFormat="1" applyFont="1" applyFill="1" applyBorder="1"/>
    <xf numFmtId="164" fontId="0" fillId="19" borderId="9" xfId="0" applyNumberFormat="1" applyFill="1" applyBorder="1" applyAlignment="1">
      <alignment horizontal="center"/>
    </xf>
    <xf numFmtId="164" fontId="0" fillId="19" borderId="11" xfId="0" applyNumberFormat="1" applyFill="1" applyBorder="1"/>
    <xf numFmtId="164" fontId="0" fillId="19" borderId="10" xfId="0" applyNumberFormat="1" applyFill="1" applyBorder="1"/>
    <xf numFmtId="164" fontId="0" fillId="19" borderId="9" xfId="0" applyNumberFormat="1" applyFill="1" applyBorder="1"/>
    <xf numFmtId="0" fontId="12" fillId="0" borderId="6" xfId="0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14" borderId="2" xfId="0" applyFont="1" applyFill="1" applyBorder="1" applyAlignment="1">
      <alignment horizontal="center"/>
    </xf>
    <xf numFmtId="0" fontId="12" fillId="14" borderId="11" xfId="0" applyFont="1" applyFill="1" applyBorder="1" applyAlignment="1">
      <alignment horizontal="center"/>
    </xf>
    <xf numFmtId="0" fontId="12" fillId="14" borderId="0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164" fontId="0" fillId="14" borderId="11" xfId="0" applyNumberFormat="1" applyFill="1" applyBorder="1" applyAlignment="1">
      <alignment horizontal="center"/>
    </xf>
    <xf numFmtId="164" fontId="0" fillId="14" borderId="10" xfId="0" applyNumberFormat="1" applyFill="1" applyBorder="1" applyAlignment="1">
      <alignment horizontal="center"/>
    </xf>
    <xf numFmtId="164" fontId="0" fillId="14" borderId="9" xfId="0" applyNumberFormat="1" applyFill="1" applyBorder="1" applyAlignment="1">
      <alignment horizontal="center"/>
    </xf>
    <xf numFmtId="164" fontId="9" fillId="14" borderId="0" xfId="0" applyNumberFormat="1" applyFont="1" applyFill="1" applyAlignment="1">
      <alignment horizontal="center"/>
    </xf>
    <xf numFmtId="164" fontId="9" fillId="14" borderId="0" xfId="0" applyNumberFormat="1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12" fillId="18" borderId="2" xfId="0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164" fontId="0" fillId="18" borderId="1" xfId="0" applyNumberFormat="1" applyFill="1" applyBorder="1" applyAlignment="1">
      <alignment horizontal="center"/>
    </xf>
    <xf numFmtId="164" fontId="0" fillId="18" borderId="3" xfId="0" applyNumberFormat="1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164" fontId="0" fillId="18" borderId="5" xfId="0" applyNumberFormat="1" applyFill="1" applyBorder="1" applyAlignment="1">
      <alignment horizontal="center"/>
    </xf>
    <xf numFmtId="164" fontId="9" fillId="18" borderId="0" xfId="0" applyNumberFormat="1" applyFont="1" applyFill="1" applyAlignment="1">
      <alignment horizontal="center"/>
    </xf>
    <xf numFmtId="164" fontId="9" fillId="18" borderId="0" xfId="0" applyNumberFormat="1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12" fillId="18" borderId="10" xfId="0" applyFont="1" applyFill="1" applyBorder="1" applyAlignment="1">
      <alignment horizontal="center"/>
    </xf>
    <xf numFmtId="164" fontId="0" fillId="18" borderId="0" xfId="0" applyNumberFormat="1" applyFill="1" applyBorder="1" applyAlignment="1">
      <alignment horizontal="center"/>
    </xf>
    <xf numFmtId="164" fontId="0" fillId="18" borderId="2" xfId="0" applyNumberFormat="1" applyFill="1" applyBorder="1" applyAlignment="1">
      <alignment horizontal="center"/>
    </xf>
    <xf numFmtId="164" fontId="0" fillId="18" borderId="11" xfId="0" applyNumberFormat="1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164" fontId="0" fillId="18" borderId="6" xfId="0" applyNumberFormat="1" applyFill="1" applyBorder="1" applyAlignment="1">
      <alignment horizontal="center"/>
    </xf>
    <xf numFmtId="164" fontId="0" fillId="18" borderId="9" xfId="0" applyNumberFormat="1" applyFill="1" applyBorder="1" applyAlignment="1">
      <alignment horizontal="center"/>
    </xf>
    <xf numFmtId="164" fontId="0" fillId="10" borderId="0" xfId="0" applyNumberFormat="1" applyFill="1"/>
    <xf numFmtId="2" fontId="32" fillId="0" borderId="0" xfId="0" applyNumberFormat="1" applyFont="1"/>
    <xf numFmtId="164" fontId="11" fillId="18" borderId="6" xfId="0" applyNumberFormat="1" applyFont="1" applyFill="1" applyBorder="1" applyAlignment="1">
      <alignment horizontal="right"/>
    </xf>
    <xf numFmtId="164" fontId="11" fillId="10" borderId="0" xfId="0" applyNumberFormat="1" applyFont="1" applyFill="1"/>
    <xf numFmtId="2" fontId="0" fillId="14" borderId="15" xfId="0" applyNumberFormat="1" applyFont="1" applyFill="1" applyBorder="1"/>
    <xf numFmtId="2" fontId="17" fillId="14" borderId="17" xfId="0" applyNumberFormat="1" applyFont="1" applyFill="1" applyBorder="1"/>
    <xf numFmtId="2" fontId="0" fillId="14" borderId="44" xfId="0" applyNumberFormat="1" applyFont="1" applyFill="1" applyBorder="1"/>
    <xf numFmtId="2" fontId="0" fillId="14" borderId="51" xfId="0" applyNumberFormat="1" applyFont="1" applyFill="1" applyBorder="1"/>
    <xf numFmtId="2" fontId="0" fillId="0" borderId="0" xfId="0" applyNumberFormat="1" applyBorder="1" applyAlignment="1">
      <alignment horizontal="right"/>
    </xf>
    <xf numFmtId="0" fontId="11" fillId="14" borderId="2" xfId="0" applyFont="1" applyFill="1" applyBorder="1" applyAlignment="1">
      <alignment horizontal="center"/>
    </xf>
    <xf numFmtId="0" fontId="11" fillId="14" borderId="11" xfId="0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0" fontId="11" fillId="18" borderId="11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11" fillId="18" borderId="0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center"/>
    </xf>
    <xf numFmtId="0" fontId="0" fillId="10" borderId="0" xfId="0" applyFill="1"/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0" xfId="0" applyFill="1" applyAlignment="1">
      <alignment horizontal="center"/>
    </xf>
    <xf numFmtId="164" fontId="0" fillId="18" borderId="0" xfId="0" applyNumberFormat="1" applyFill="1" applyAlignment="1">
      <alignment horizontal="center"/>
    </xf>
    <xf numFmtId="164" fontId="19" fillId="0" borderId="31" xfId="0" applyNumberFormat="1" applyFont="1" applyBorder="1"/>
    <xf numFmtId="164" fontId="12" fillId="0" borderId="0" xfId="0" applyNumberFormat="1" applyFont="1" applyAlignment="1">
      <alignment horizontal="center"/>
    </xf>
    <xf numFmtId="0" fontId="12" fillId="0" borderId="0" xfId="0" applyFont="1"/>
    <xf numFmtId="0" fontId="11" fillId="18" borderId="1" xfId="0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0" fontId="11" fillId="18" borderId="11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164" fontId="33" fillId="0" borderId="0" xfId="0" applyNumberFormat="1" applyFont="1"/>
    <xf numFmtId="164" fontId="0" fillId="0" borderId="0" xfId="0" applyNumberFormat="1" applyFill="1" applyBorder="1"/>
    <xf numFmtId="164" fontId="0" fillId="0" borderId="3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18" borderId="35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center"/>
    </xf>
    <xf numFmtId="164" fontId="12" fillId="18" borderId="12" xfId="0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/>
    <xf numFmtId="2" fontId="10" fillId="0" borderId="0" xfId="39" applyNumberFormat="1" applyFill="1" applyAlignment="1">
      <alignment horizontal="center"/>
    </xf>
    <xf numFmtId="49" fontId="0" fillId="0" borderId="0" xfId="0" applyNumberFormat="1" applyFill="1"/>
    <xf numFmtId="166" fontId="0" fillId="12" borderId="12" xfId="0" applyNumberFormat="1" applyFont="1" applyFill="1" applyBorder="1"/>
    <xf numFmtId="166" fontId="0" fillId="0" borderId="39" xfId="0" applyNumberFormat="1" applyFont="1" applyFill="1" applyBorder="1"/>
    <xf numFmtId="166" fontId="0" fillId="12" borderId="13" xfId="0" applyNumberFormat="1" applyFill="1" applyBorder="1"/>
    <xf numFmtId="166" fontId="0" fillId="0" borderId="14" xfId="0" applyNumberFormat="1" applyBorder="1"/>
    <xf numFmtId="166" fontId="0" fillId="12" borderId="14" xfId="0" applyNumberFormat="1" applyFill="1" applyBorder="1"/>
    <xf numFmtId="166" fontId="0" fillId="13" borderId="14" xfId="0" applyNumberFormat="1" applyFill="1" applyBorder="1"/>
    <xf numFmtId="166" fontId="0" fillId="13" borderId="15" xfId="0" applyNumberFormat="1" applyFill="1" applyBorder="1"/>
    <xf numFmtId="166" fontId="17" fillId="12" borderId="12" xfId="0" applyNumberFormat="1" applyFont="1" applyFill="1" applyBorder="1"/>
    <xf numFmtId="166" fontId="0" fillId="12" borderId="16" xfId="0" applyNumberFormat="1" applyFill="1" applyBorder="1"/>
    <xf numFmtId="166" fontId="0" fillId="12" borderId="12" xfId="0" applyNumberFormat="1" applyFill="1" applyBorder="1"/>
    <xf numFmtId="166" fontId="19" fillId="12" borderId="12" xfId="0" applyNumberFormat="1" applyFont="1" applyFill="1" applyBorder="1"/>
    <xf numFmtId="166" fontId="0" fillId="12" borderId="45" xfId="0" applyNumberFormat="1" applyFill="1" applyBorder="1"/>
    <xf numFmtId="166" fontId="0" fillId="12" borderId="30" xfId="0" applyNumberFormat="1" applyFill="1" applyBorder="1"/>
    <xf numFmtId="166" fontId="0" fillId="12" borderId="43" xfId="0" applyNumberFormat="1" applyFont="1" applyFill="1" applyBorder="1"/>
    <xf numFmtId="166" fontId="0" fillId="0" borderId="22" xfId="0" applyNumberFormat="1" applyFont="1" applyFill="1" applyBorder="1"/>
    <xf numFmtId="166" fontId="0" fillId="12" borderId="43" xfId="0" applyNumberFormat="1" applyFill="1" applyBorder="1"/>
    <xf numFmtId="166" fontId="0" fillId="0" borderId="44" xfId="0" applyNumberFormat="1" applyBorder="1"/>
    <xf numFmtId="166" fontId="0" fillId="12" borderId="24" xfId="0" applyNumberFormat="1" applyFill="1" applyBorder="1"/>
    <xf numFmtId="166" fontId="0" fillId="13" borderId="22" xfId="0" applyNumberFormat="1" applyFill="1" applyBorder="1"/>
    <xf numFmtId="166" fontId="0" fillId="13" borderId="44" xfId="0" applyNumberFormat="1" applyFill="1" applyBorder="1"/>
    <xf numFmtId="166" fontId="17" fillId="12" borderId="16" xfId="0" applyNumberFormat="1" applyFont="1" applyFill="1" applyBorder="1"/>
    <xf numFmtId="166" fontId="0" fillId="12" borderId="32" xfId="0" applyNumberFormat="1" applyFill="1" applyBorder="1"/>
    <xf numFmtId="166" fontId="0" fillId="12" borderId="16" xfId="0" applyNumberFormat="1" applyFont="1" applyFill="1" applyBorder="1"/>
    <xf numFmtId="166" fontId="19" fillId="12" borderId="16" xfId="0" applyNumberFormat="1" applyFont="1" applyFill="1" applyBorder="1"/>
    <xf numFmtId="166" fontId="0" fillId="12" borderId="45" xfId="0" applyNumberFormat="1" applyFont="1" applyFill="1" applyBorder="1"/>
    <xf numFmtId="166" fontId="0" fillId="12" borderId="33" xfId="0" applyNumberFormat="1" applyFill="1" applyBorder="1"/>
    <xf numFmtId="166" fontId="12" fillId="0" borderId="0" xfId="0" applyNumberFormat="1" applyFont="1"/>
    <xf numFmtId="166" fontId="0" fillId="12" borderId="31" xfId="0" applyNumberFormat="1" applyFill="1" applyBorder="1"/>
    <xf numFmtId="166" fontId="0" fillId="0" borderId="31" xfId="0" applyNumberFormat="1" applyBorder="1"/>
    <xf numFmtId="166" fontId="0" fillId="13" borderId="31" xfId="0" applyNumberFormat="1" applyFill="1" applyBorder="1"/>
    <xf numFmtId="166" fontId="0" fillId="12" borderId="13" xfId="0" applyNumberFormat="1" applyFont="1" applyFill="1" applyBorder="1"/>
    <xf numFmtId="166" fontId="0" fillId="12" borderId="30" xfId="0" applyNumberFormat="1" applyFont="1" applyFill="1" applyBorder="1"/>
    <xf numFmtId="166" fontId="34" fillId="0" borderId="0" xfId="0" applyNumberFormat="1" applyFont="1"/>
    <xf numFmtId="164" fontId="35" fillId="0" borderId="0" xfId="0" applyNumberFormat="1" applyFont="1"/>
    <xf numFmtId="0" fontId="0" fillId="0" borderId="0" xfId="0" applyNumberFormat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18" borderId="0" xfId="0" applyFont="1" applyFill="1" applyBorder="1" applyAlignment="1">
      <alignment horizontal="center" wrapText="1"/>
    </xf>
    <xf numFmtId="14" fontId="21" fillId="18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4" fontId="21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Border="1"/>
    <xf numFmtId="14" fontId="21" fillId="0" borderId="3" xfId="0" applyNumberFormat="1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36" fillId="0" borderId="2" xfId="0" applyFont="1" applyFill="1" applyBorder="1" applyAlignment="1">
      <alignment horizontal="center"/>
    </xf>
    <xf numFmtId="164" fontId="36" fillId="0" borderId="2" xfId="0" applyNumberFormat="1" applyFont="1" applyFill="1" applyBorder="1" applyAlignment="1">
      <alignment horizontal="center"/>
    </xf>
    <xf numFmtId="164" fontId="36" fillId="0" borderId="1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4" fontId="36" fillId="0" borderId="10" xfId="0" applyNumberFormat="1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164" fontId="36" fillId="0" borderId="6" xfId="0" applyNumberFormat="1" applyFont="1" applyFill="1" applyBorder="1" applyAlignment="1">
      <alignment horizontal="center"/>
    </xf>
    <xf numFmtId="164" fontId="36" fillId="0" borderId="9" xfId="0" applyNumberFormat="1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164" fontId="36" fillId="0" borderId="3" xfId="0" applyNumberFormat="1" applyFont="1" applyFill="1" applyBorder="1" applyAlignment="1">
      <alignment horizontal="center"/>
    </xf>
    <xf numFmtId="164" fontId="36" fillId="0" borderId="5" xfId="0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0" fontId="21" fillId="14" borderId="0" xfId="0" applyFont="1" applyFill="1" applyBorder="1" applyAlignment="1">
      <alignment horizontal="center" wrapText="1"/>
    </xf>
    <xf numFmtId="14" fontId="21" fillId="14" borderId="0" xfId="0" applyNumberFormat="1" applyFont="1" applyFill="1" applyBorder="1" applyAlignment="1">
      <alignment horizontal="center" wrapText="1"/>
    </xf>
    <xf numFmtId="14" fontId="21" fillId="14" borderId="3" xfId="0" applyNumberFormat="1" applyFont="1" applyFill="1" applyBorder="1" applyAlignment="1">
      <alignment horizontal="center" wrapText="1"/>
    </xf>
    <xf numFmtId="14" fontId="21" fillId="14" borderId="10" xfId="0" applyNumberFormat="1" applyFont="1" applyFill="1" applyBorder="1" applyAlignment="1">
      <alignment horizontal="center" wrapText="1"/>
    </xf>
    <xf numFmtId="0" fontId="36" fillId="14" borderId="1" xfId="0" applyFont="1" applyFill="1" applyBorder="1" applyAlignment="1">
      <alignment horizontal="center"/>
    </xf>
    <xf numFmtId="164" fontId="36" fillId="14" borderId="2" xfId="0" applyNumberFormat="1" applyFont="1" applyFill="1" applyBorder="1" applyAlignment="1">
      <alignment horizontal="center"/>
    </xf>
    <xf numFmtId="164" fontId="36" fillId="14" borderId="11" xfId="0" applyNumberFormat="1" applyFont="1" applyFill="1" applyBorder="1" applyAlignment="1">
      <alignment horizontal="center"/>
    </xf>
    <xf numFmtId="0" fontId="36" fillId="14" borderId="3" xfId="0" applyFont="1" applyFill="1" applyBorder="1" applyAlignment="1">
      <alignment horizontal="center"/>
    </xf>
    <xf numFmtId="164" fontId="36" fillId="14" borderId="0" xfId="0" applyNumberFormat="1" applyFont="1" applyFill="1" applyBorder="1" applyAlignment="1">
      <alignment horizontal="center"/>
    </xf>
    <xf numFmtId="164" fontId="36" fillId="14" borderId="10" xfId="0" applyNumberFormat="1" applyFont="1" applyFill="1" applyBorder="1" applyAlignment="1">
      <alignment horizontal="center"/>
    </xf>
    <xf numFmtId="0" fontId="36" fillId="14" borderId="5" xfId="0" applyFont="1" applyFill="1" applyBorder="1" applyAlignment="1">
      <alignment horizontal="center"/>
    </xf>
    <xf numFmtId="164" fontId="36" fillId="14" borderId="6" xfId="0" applyNumberFormat="1" applyFont="1" applyFill="1" applyBorder="1" applyAlignment="1">
      <alignment horizontal="center"/>
    </xf>
    <xf numFmtId="164" fontId="36" fillId="14" borderId="9" xfId="0" applyNumberFormat="1" applyFont="1" applyFill="1" applyBorder="1" applyAlignment="1">
      <alignment horizontal="center"/>
    </xf>
    <xf numFmtId="0" fontId="0" fillId="14" borderId="0" xfId="0" applyFont="1" applyFill="1" applyBorder="1"/>
    <xf numFmtId="164" fontId="11" fillId="14" borderId="0" xfId="0" applyNumberFormat="1" applyFont="1" applyFill="1" applyBorder="1"/>
    <xf numFmtId="0" fontId="36" fillId="14" borderId="2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 vertical="center"/>
    </xf>
    <xf numFmtId="0" fontId="36" fillId="14" borderId="6" xfId="0" applyFont="1" applyFill="1" applyBorder="1" applyAlignment="1">
      <alignment horizontal="center"/>
    </xf>
    <xf numFmtId="14" fontId="21" fillId="18" borderId="3" xfId="0" applyNumberFormat="1" applyFont="1" applyFill="1" applyBorder="1" applyAlignment="1">
      <alignment horizontal="center" wrapText="1"/>
    </xf>
    <xf numFmtId="14" fontId="21" fillId="18" borderId="10" xfId="0" applyNumberFormat="1" applyFont="1" applyFill="1" applyBorder="1" applyAlignment="1">
      <alignment horizontal="center" wrapText="1"/>
    </xf>
    <xf numFmtId="0" fontId="36" fillId="18" borderId="2" xfId="0" applyFont="1" applyFill="1" applyBorder="1" applyAlignment="1">
      <alignment horizontal="center"/>
    </xf>
    <xf numFmtId="164" fontId="36" fillId="18" borderId="2" xfId="0" applyNumberFormat="1" applyFont="1" applyFill="1" applyBorder="1" applyAlignment="1">
      <alignment horizontal="center"/>
    </xf>
    <xf numFmtId="164" fontId="36" fillId="18" borderId="11" xfId="0" applyNumberFormat="1" applyFont="1" applyFill="1" applyBorder="1" applyAlignment="1">
      <alignment horizontal="center"/>
    </xf>
    <xf numFmtId="0" fontId="36" fillId="18" borderId="0" xfId="0" applyFont="1" applyFill="1" applyBorder="1" applyAlignment="1">
      <alignment horizontal="center"/>
    </xf>
    <xf numFmtId="164" fontId="36" fillId="18" borderId="0" xfId="0" applyNumberFormat="1" applyFont="1" applyFill="1" applyBorder="1" applyAlignment="1">
      <alignment horizontal="center"/>
    </xf>
    <xf numFmtId="164" fontId="36" fillId="18" borderId="10" xfId="0" applyNumberFormat="1" applyFont="1" applyFill="1" applyBorder="1" applyAlignment="1">
      <alignment horizontal="center"/>
    </xf>
    <xf numFmtId="0" fontId="36" fillId="18" borderId="6" xfId="0" applyFont="1" applyFill="1" applyBorder="1" applyAlignment="1">
      <alignment horizontal="center"/>
    </xf>
    <xf numFmtId="164" fontId="36" fillId="18" borderId="6" xfId="0" applyNumberFormat="1" applyFont="1" applyFill="1" applyBorder="1" applyAlignment="1">
      <alignment horizontal="center"/>
    </xf>
    <xf numFmtId="164" fontId="36" fillId="18" borderId="9" xfId="0" applyNumberFormat="1" applyFont="1" applyFill="1" applyBorder="1" applyAlignment="1">
      <alignment horizontal="center"/>
    </xf>
    <xf numFmtId="0" fontId="0" fillId="18" borderId="0" xfId="0" applyFont="1" applyFill="1" applyBorder="1"/>
    <xf numFmtId="164" fontId="0" fillId="18" borderId="0" xfId="0" applyNumberFormat="1" applyFill="1" applyBorder="1"/>
    <xf numFmtId="164" fontId="11" fillId="18" borderId="0" xfId="0" applyNumberFormat="1" applyFont="1" applyFill="1" applyBorder="1"/>
    <xf numFmtId="0" fontId="0" fillId="18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5" xfId="0" applyFont="1" applyBorder="1"/>
    <xf numFmtId="1" fontId="12" fillId="0" borderId="6" xfId="0" applyNumberFormat="1" applyFont="1" applyBorder="1" applyAlignment="1">
      <alignment horizontal="center"/>
    </xf>
    <xf numFmtId="0" fontId="17" fillId="0" borderId="35" xfId="0" applyFont="1" applyBorder="1"/>
    <xf numFmtId="1" fontId="17" fillId="0" borderId="6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2" fillId="0" borderId="0" xfId="0" applyFont="1" applyBorder="1"/>
    <xf numFmtId="2" fontId="12" fillId="0" borderId="0" xfId="0" applyNumberFormat="1" applyFont="1" applyBorder="1"/>
    <xf numFmtId="1" fontId="19" fillId="20" borderId="0" xfId="0" applyNumberFormat="1" applyFont="1" applyFill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64" fontId="12" fillId="0" borderId="9" xfId="0" applyNumberFormat="1" applyFont="1" applyBorder="1" applyAlignment="1">
      <alignment horizontal="right"/>
    </xf>
    <xf numFmtId="0" fontId="23" fillId="0" borderId="42" xfId="0" applyFont="1" applyBorder="1" applyAlignment="1"/>
    <xf numFmtId="0" fontId="12" fillId="0" borderId="42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64" fontId="12" fillId="0" borderId="0" xfId="0" applyNumberFormat="1" applyFont="1" applyFill="1"/>
    <xf numFmtId="164" fontId="12" fillId="0" borderId="0" xfId="0" applyNumberFormat="1" applyFont="1" applyFill="1" applyBorder="1"/>
    <xf numFmtId="0" fontId="12" fillId="0" borderId="0" xfId="0" applyFont="1" applyFill="1"/>
    <xf numFmtId="1" fontId="12" fillId="0" borderId="7" xfId="0" applyNumberFormat="1" applyFont="1" applyBorder="1" applyAlignment="1">
      <alignment horizontal="center"/>
    </xf>
    <xf numFmtId="164" fontId="11" fillId="10" borderId="6" xfId="0" applyNumberFormat="1" applyFont="1" applyFill="1" applyBorder="1"/>
    <xf numFmtId="164" fontId="11" fillId="10" borderId="6" xfId="0" applyNumberFormat="1" applyFont="1" applyFill="1" applyBorder="1" applyAlignment="1">
      <alignment horizontal="right"/>
    </xf>
    <xf numFmtId="0" fontId="0" fillId="13" borderId="0" xfId="0" applyFill="1"/>
    <xf numFmtId="0" fontId="0" fillId="13" borderId="0" xfId="0" applyFill="1" applyBorder="1" applyAlignment="1">
      <alignment horizontal="center"/>
    </xf>
    <xf numFmtId="0" fontId="40" fillId="13" borderId="0" xfId="0" applyFont="1" applyFill="1"/>
    <xf numFmtId="0" fontId="0" fillId="13" borderId="0" xfId="0" applyFill="1" applyAlignment="1">
      <alignment horizontal="center"/>
    </xf>
    <xf numFmtId="0" fontId="40" fillId="13" borderId="23" xfId="0" applyFont="1" applyFill="1" applyBorder="1"/>
    <xf numFmtId="0" fontId="40" fillId="13" borderId="0" xfId="0" applyFont="1" applyFill="1" applyBorder="1" applyAlignment="1">
      <alignment horizontal="center"/>
    </xf>
    <xf numFmtId="164" fontId="40" fillId="13" borderId="0" xfId="0" applyNumberFormat="1" applyFont="1" applyFill="1" applyAlignment="1">
      <alignment horizontal="left"/>
    </xf>
    <xf numFmtId="0" fontId="40" fillId="13" borderId="0" xfId="0" applyFont="1" applyFill="1" applyBorder="1"/>
    <xf numFmtId="164" fontId="40" fillId="13" borderId="0" xfId="0" applyNumberFormat="1" applyFont="1" applyFill="1" applyAlignment="1">
      <alignment horizontal="right"/>
    </xf>
    <xf numFmtId="164" fontId="40" fillId="13" borderId="0" xfId="0" applyNumberFormat="1" applyFont="1" applyFill="1" applyAlignment="1">
      <alignment horizontal="center"/>
    </xf>
    <xf numFmtId="164" fontId="40" fillId="13" borderId="0" xfId="0" applyNumberFormat="1" applyFont="1" applyFill="1" applyBorder="1"/>
    <xf numFmtId="164" fontId="40" fillId="13" borderId="0" xfId="0" applyNumberFormat="1" applyFont="1" applyFill="1"/>
    <xf numFmtId="164" fontId="40" fillId="13" borderId="0" xfId="0" applyNumberFormat="1" applyFont="1" applyFill="1" applyBorder="1" applyAlignment="1">
      <alignment horizontal="center"/>
    </xf>
    <xf numFmtId="164" fontId="40" fillId="13" borderId="23" xfId="0" applyNumberFormat="1" applyFont="1" applyFill="1" applyBorder="1" applyAlignment="1">
      <alignment horizontal="center"/>
    </xf>
    <xf numFmtId="164" fontId="40" fillId="13" borderId="23" xfId="0" applyNumberFormat="1" applyFont="1" applyFill="1" applyBorder="1"/>
    <xf numFmtId="164" fontId="34" fillId="13" borderId="0" xfId="0" applyNumberFormat="1" applyFont="1" applyFill="1" applyBorder="1" applyAlignment="1">
      <alignment horizontal="center"/>
    </xf>
    <xf numFmtId="0" fontId="3" fillId="0" borderId="0" xfId="79"/>
    <xf numFmtId="0" fontId="3" fillId="0" borderId="23" xfId="79" applyBorder="1"/>
    <xf numFmtId="0" fontId="3" fillId="0" borderId="24" xfId="79" applyFill="1" applyBorder="1" applyAlignment="1">
      <alignment horizontal="center"/>
    </xf>
    <xf numFmtId="0" fontId="3" fillId="0" borderId="48" xfId="79" applyFill="1" applyBorder="1" applyAlignment="1">
      <alignment horizontal="center"/>
    </xf>
    <xf numFmtId="0" fontId="39" fillId="0" borderId="0" xfId="79" applyFont="1"/>
    <xf numFmtId="0" fontId="3" fillId="0" borderId="23" xfId="79" applyBorder="1" applyAlignment="1">
      <alignment horizontal="center"/>
    </xf>
    <xf numFmtId="0" fontId="3" fillId="0" borderId="0" xfId="79" applyFill="1" applyAlignment="1">
      <alignment horizontal="center"/>
    </xf>
    <xf numFmtId="0" fontId="39" fillId="0" borderId="0" xfId="79" applyFont="1" applyFill="1" applyAlignment="1">
      <alignment horizontal="center"/>
    </xf>
    <xf numFmtId="164" fontId="9" fillId="0" borderId="0" xfId="79" applyNumberFormat="1" applyFont="1" applyFill="1" applyAlignment="1">
      <alignment horizontal="center"/>
    </xf>
    <xf numFmtId="0" fontId="9" fillId="0" borderId="0" xfId="79" applyFont="1" applyFill="1" applyBorder="1" applyAlignment="1">
      <alignment horizontal="center"/>
    </xf>
    <xf numFmtId="0" fontId="3" fillId="0" borderId="0" xfId="79" applyFill="1"/>
    <xf numFmtId="0" fontId="3" fillId="16" borderId="0" xfId="79" applyFill="1" applyBorder="1"/>
    <xf numFmtId="164" fontId="3" fillId="16" borderId="0" xfId="79" applyNumberFormat="1" applyFill="1" applyBorder="1" applyAlignment="1">
      <alignment horizontal="center"/>
    </xf>
    <xf numFmtId="164" fontId="12" fillId="16" borderId="0" xfId="79" applyNumberFormat="1" applyFont="1" applyFill="1" applyBorder="1" applyAlignment="1">
      <alignment horizontal="center"/>
    </xf>
    <xf numFmtId="2" fontId="3" fillId="16" borderId="0" xfId="79" applyNumberFormat="1" applyFill="1" applyBorder="1" applyAlignment="1">
      <alignment horizontal="center"/>
    </xf>
    <xf numFmtId="0" fontId="3" fillId="16" borderId="48" xfId="79" applyFill="1" applyBorder="1" applyAlignment="1">
      <alignment horizontal="center"/>
    </xf>
    <xf numFmtId="164" fontId="31" fillId="16" borderId="0" xfId="79" applyNumberFormat="1" applyFont="1" applyFill="1" applyBorder="1" applyAlignment="1">
      <alignment horizontal="center"/>
    </xf>
    <xf numFmtId="2" fontId="14" fillId="16" borderId="0" xfId="79" applyNumberFormat="1" applyFont="1" applyFill="1" applyBorder="1" applyAlignment="1">
      <alignment horizontal="center"/>
    </xf>
    <xf numFmtId="0" fontId="3" fillId="16" borderId="0" xfId="79" applyFill="1" applyBorder="1" applyAlignment="1">
      <alignment horizontal="center"/>
    </xf>
    <xf numFmtId="0" fontId="3" fillId="16" borderId="0" xfId="79" applyFill="1"/>
    <xf numFmtId="0" fontId="3" fillId="0" borderId="0" xfId="79" applyFill="1" applyBorder="1"/>
    <xf numFmtId="164" fontId="3" fillId="0" borderId="0" xfId="79" applyNumberFormat="1" applyFill="1" applyBorder="1" applyAlignment="1">
      <alignment horizontal="center"/>
    </xf>
    <xf numFmtId="0" fontId="40" fillId="13" borderId="23" xfId="79" applyFont="1" applyFill="1" applyBorder="1" applyAlignment="1">
      <alignment horizontal="center"/>
    </xf>
    <xf numFmtId="0" fontId="40" fillId="13" borderId="23" xfId="79" applyFont="1" applyFill="1" applyBorder="1" applyAlignment="1">
      <alignment horizontal="left"/>
    </xf>
    <xf numFmtId="0" fontId="40" fillId="0" borderId="0" xfId="79" applyFont="1"/>
    <xf numFmtId="0" fontId="40" fillId="13" borderId="0" xfId="79" applyFont="1" applyFill="1" applyAlignment="1">
      <alignment horizontal="center"/>
    </xf>
    <xf numFmtId="0" fontId="40" fillId="13" borderId="0" xfId="79" applyFont="1" applyFill="1" applyAlignment="1">
      <alignment horizontal="left"/>
    </xf>
    <xf numFmtId="164" fontId="40" fillId="13" borderId="0" xfId="79" applyNumberFormat="1" applyFont="1" applyFill="1" applyAlignment="1">
      <alignment horizontal="center"/>
    </xf>
    <xf numFmtId="0" fontId="3" fillId="17" borderId="0" xfId="79" applyFill="1"/>
    <xf numFmtId="0" fontId="3" fillId="17" borderId="0" xfId="79" applyFill="1" applyBorder="1"/>
    <xf numFmtId="164" fontId="3" fillId="17" borderId="0" xfId="79" applyNumberFormat="1" applyFill="1" applyBorder="1" applyAlignment="1">
      <alignment horizontal="center"/>
    </xf>
    <xf numFmtId="164" fontId="12" fillId="17" borderId="0" xfId="79" applyNumberFormat="1" applyFont="1" applyFill="1" applyBorder="1" applyAlignment="1">
      <alignment horizontal="center"/>
    </xf>
    <xf numFmtId="2" fontId="3" fillId="17" borderId="0" xfId="79" applyNumberFormat="1" applyFill="1" applyBorder="1" applyAlignment="1">
      <alignment horizontal="center"/>
    </xf>
    <xf numFmtId="0" fontId="3" fillId="17" borderId="0" xfId="79" applyFill="1" applyBorder="1" applyAlignment="1">
      <alignment horizontal="center"/>
    </xf>
    <xf numFmtId="164" fontId="31" fillId="17" borderId="0" xfId="79" applyNumberFormat="1" applyFont="1" applyFill="1" applyBorder="1" applyAlignment="1">
      <alignment horizontal="center"/>
    </xf>
    <xf numFmtId="2" fontId="14" fillId="17" borderId="0" xfId="79" applyNumberFormat="1" applyFont="1" applyFill="1" applyBorder="1" applyAlignment="1">
      <alignment horizontal="center"/>
    </xf>
    <xf numFmtId="164" fontId="34" fillId="13" borderId="0" xfId="79" applyNumberFormat="1" applyFont="1" applyFill="1" applyAlignment="1">
      <alignment horizontal="center"/>
    </xf>
    <xf numFmtId="0" fontId="34" fillId="13" borderId="0" xfId="79" applyFont="1" applyFill="1" applyAlignment="1">
      <alignment horizontal="left"/>
    </xf>
    <xf numFmtId="0" fontId="34" fillId="13" borderId="0" xfId="79" applyFont="1" applyFill="1" applyAlignment="1">
      <alignment horizontal="center"/>
    </xf>
    <xf numFmtId="0" fontId="44" fillId="0" borderId="23" xfId="79" applyFont="1" applyBorder="1" applyAlignment="1">
      <alignment horizontal="center"/>
    </xf>
    <xf numFmtId="0" fontId="3" fillId="0" borderId="24" xfId="79" applyBorder="1"/>
    <xf numFmtId="0" fontId="39" fillId="0" borderId="0" xfId="79" applyFont="1" applyAlignment="1">
      <alignment horizontal="center"/>
    </xf>
    <xf numFmtId="0" fontId="46" fillId="0" borderId="0" xfId="80" applyFont="1" applyAlignment="1">
      <alignment horizontal="center"/>
    </xf>
    <xf numFmtId="0" fontId="3" fillId="0" borderId="48" xfId="79" applyBorder="1"/>
    <xf numFmtId="0" fontId="40" fillId="0" borderId="0" xfId="79" applyFont="1" applyFill="1" applyBorder="1" applyAlignment="1">
      <alignment horizontal="center"/>
    </xf>
    <xf numFmtId="0" fontId="40" fillId="0" borderId="0" xfId="79" applyFont="1" applyFill="1" applyBorder="1"/>
    <xf numFmtId="0" fontId="40" fillId="13" borderId="27" xfId="79" applyFont="1" applyFill="1" applyBorder="1" applyAlignment="1">
      <alignment horizontal="center"/>
    </xf>
    <xf numFmtId="0" fontId="40" fillId="0" borderId="0" xfId="79" applyFont="1" applyBorder="1"/>
    <xf numFmtId="0" fontId="0" fillId="0" borderId="23" xfId="0" applyFill="1" applyBorder="1"/>
    <xf numFmtId="0" fontId="0" fillId="0" borderId="23" xfId="0" applyBorder="1"/>
    <xf numFmtId="0" fontId="40" fillId="13" borderId="23" xfId="0" applyFont="1" applyFill="1" applyBorder="1" applyAlignment="1">
      <alignment horizontal="center"/>
    </xf>
    <xf numFmtId="0" fontId="40" fillId="13" borderId="0" xfId="0" applyFont="1" applyFill="1" applyBorder="1" applyAlignment="1"/>
    <xf numFmtId="164" fontId="40" fillId="13" borderId="0" xfId="0" applyNumberFormat="1" applyFont="1" applyFill="1" applyBorder="1" applyAlignment="1">
      <alignment horizontal="right"/>
    </xf>
    <xf numFmtId="164" fontId="40" fillId="13" borderId="23" xfId="0" applyNumberFormat="1" applyFont="1" applyFill="1" applyBorder="1" applyAlignment="1">
      <alignment horizontal="right"/>
    </xf>
    <xf numFmtId="164" fontId="40" fillId="13" borderId="0" xfId="0" applyNumberFormat="1" applyFont="1" applyFill="1" applyBorder="1" applyAlignment="1">
      <alignment horizontal="left"/>
    </xf>
    <xf numFmtId="164" fontId="40" fillId="13" borderId="23" xfId="0" applyNumberFormat="1" applyFont="1" applyFill="1" applyBorder="1" applyAlignment="1">
      <alignment horizontal="left"/>
    </xf>
    <xf numFmtId="0" fontId="2" fillId="0" borderId="0" xfId="81"/>
    <xf numFmtId="0" fontId="39" fillId="0" borderId="0" xfId="81" applyFont="1" applyBorder="1"/>
    <xf numFmtId="0" fontId="39" fillId="0" borderId="0" xfId="81" applyFont="1" applyBorder="1" applyAlignment="1">
      <alignment horizontal="center"/>
    </xf>
    <xf numFmtId="0" fontId="39" fillId="0" borderId="56" xfId="81" applyFont="1" applyBorder="1" applyAlignment="1">
      <alignment horizontal="center"/>
    </xf>
    <xf numFmtId="0" fontId="39" fillId="0" borderId="48" xfId="81" applyFont="1" applyBorder="1" applyAlignment="1">
      <alignment horizontal="center"/>
    </xf>
    <xf numFmtId="0" fontId="2" fillId="0" borderId="0" xfId="81" applyBorder="1"/>
    <xf numFmtId="0" fontId="2" fillId="0" borderId="56" xfId="81" applyBorder="1"/>
    <xf numFmtId="0" fontId="2" fillId="0" borderId="48" xfId="81" applyBorder="1"/>
    <xf numFmtId="0" fontId="2" fillId="0" borderId="0" xfId="81" applyFill="1" applyBorder="1"/>
    <xf numFmtId="0" fontId="2" fillId="0" borderId="48" xfId="81" applyFill="1" applyBorder="1"/>
    <xf numFmtId="0" fontId="2" fillId="0" borderId="23" xfId="81" applyBorder="1"/>
    <xf numFmtId="0" fontId="39" fillId="0" borderId="23" xfId="81" applyFont="1" applyBorder="1"/>
    <xf numFmtId="0" fontId="2" fillId="0" borderId="22" xfId="81" applyBorder="1"/>
    <xf numFmtId="0" fontId="2" fillId="0" borderId="24" xfId="81" applyBorder="1"/>
    <xf numFmtId="0" fontId="2" fillId="0" borderId="23" xfId="81" applyFill="1" applyBorder="1"/>
    <xf numFmtId="0" fontId="2" fillId="0" borderId="24" xfId="81" applyFill="1" applyBorder="1"/>
    <xf numFmtId="0" fontId="2" fillId="0" borderId="57" xfId="81" applyBorder="1"/>
    <xf numFmtId="0" fontId="39" fillId="0" borderId="57" xfId="81" applyFont="1" applyBorder="1"/>
    <xf numFmtId="0" fontId="2" fillId="0" borderId="58" xfId="81" applyBorder="1"/>
    <xf numFmtId="0" fontId="2" fillId="0" borderId="59" xfId="81" applyBorder="1"/>
    <xf numFmtId="0" fontId="2" fillId="0" borderId="57" xfId="81" applyFill="1" applyBorder="1"/>
    <xf numFmtId="0" fontId="2" fillId="0" borderId="59" xfId="81" applyFill="1" applyBorder="1"/>
    <xf numFmtId="0" fontId="2" fillId="0" borderId="58" xfId="81" applyFill="1" applyBorder="1"/>
    <xf numFmtId="0" fontId="2" fillId="0" borderId="22" xfId="81" applyFill="1" applyBorder="1"/>
    <xf numFmtId="0" fontId="2" fillId="0" borderId="57" xfId="81" applyFont="1" applyBorder="1"/>
    <xf numFmtId="0" fontId="2" fillId="0" borderId="58" xfId="81" applyFont="1" applyBorder="1"/>
    <xf numFmtId="0" fontId="2" fillId="0" borderId="59" xfId="81" applyFont="1" applyBorder="1"/>
    <xf numFmtId="0" fontId="2" fillId="0" borderId="58" xfId="81" applyFont="1" applyFill="1" applyBorder="1"/>
    <xf numFmtId="0" fontId="2" fillId="0" borderId="57" xfId="81" applyFont="1" applyFill="1" applyBorder="1"/>
    <xf numFmtId="0" fontId="2" fillId="0" borderId="59" xfId="81" applyFont="1" applyFill="1" applyBorder="1"/>
    <xf numFmtId="0" fontId="48" fillId="0" borderId="0" xfId="81" applyFont="1" applyBorder="1"/>
    <xf numFmtId="0" fontId="2" fillId="0" borderId="23" xfId="81" applyFont="1" applyBorder="1"/>
    <xf numFmtId="0" fontId="2" fillId="0" borderId="22" xfId="81" applyFont="1" applyBorder="1"/>
    <xf numFmtId="0" fontId="2" fillId="0" borderId="24" xfId="81" applyFont="1" applyBorder="1"/>
    <xf numFmtId="0" fontId="2" fillId="0" borderId="22" xfId="81" applyFont="1" applyFill="1" applyBorder="1"/>
    <xf numFmtId="0" fontId="2" fillId="0" borderId="23" xfId="81" applyFont="1" applyFill="1" applyBorder="1"/>
    <xf numFmtId="0" fontId="2" fillId="0" borderId="24" xfId="81" applyFont="1" applyFill="1" applyBorder="1"/>
    <xf numFmtId="0" fontId="2" fillId="0" borderId="56" xfId="81" applyFill="1" applyBorder="1"/>
    <xf numFmtId="0" fontId="49" fillId="0" borderId="0" xfId="81" applyFont="1" applyFill="1" applyBorder="1"/>
    <xf numFmtId="0" fontId="49" fillId="0" borderId="0" xfId="81" applyFont="1" applyBorder="1"/>
    <xf numFmtId="0" fontId="2" fillId="0" borderId="0" xfId="81" applyFont="1" applyBorder="1"/>
    <xf numFmtId="0" fontId="2" fillId="0" borderId="56" xfId="81" applyFont="1" applyBorder="1"/>
    <xf numFmtId="0" fontId="2" fillId="0" borderId="48" xfId="81" applyFont="1" applyBorder="1"/>
    <xf numFmtId="0" fontId="2" fillId="0" borderId="56" xfId="81" applyFont="1" applyFill="1" applyBorder="1"/>
    <xf numFmtId="0" fontId="2" fillId="0" borderId="0" xfId="81" applyFont="1" applyFill="1" applyBorder="1"/>
    <xf numFmtId="0" fontId="2" fillId="0" borderId="48" xfId="81" applyFont="1" applyFill="1" applyBorder="1"/>
    <xf numFmtId="0" fontId="2" fillId="0" borderId="6" xfId="81" applyBorder="1"/>
    <xf numFmtId="0" fontId="39" fillId="0" borderId="6" xfId="81" applyFont="1" applyBorder="1"/>
    <xf numFmtId="0" fontId="2" fillId="0" borderId="25" xfId="81" applyBorder="1"/>
    <xf numFmtId="0" fontId="2" fillId="0" borderId="26" xfId="81" applyBorder="1"/>
    <xf numFmtId="164" fontId="14" fillId="0" borderId="0" xfId="0" applyNumberFormat="1" applyFont="1" applyFill="1" applyBorder="1"/>
    <xf numFmtId="164" fontId="0" fillId="0" borderId="58" xfId="0" applyNumberFormat="1" applyFill="1" applyBorder="1"/>
    <xf numFmtId="164" fontId="0" fillId="0" borderId="59" xfId="0" applyNumberFormat="1" applyFill="1" applyBorder="1"/>
    <xf numFmtId="164" fontId="14" fillId="0" borderId="56" xfId="0" applyNumberFormat="1" applyFont="1" applyFill="1" applyBorder="1"/>
    <xf numFmtId="164" fontId="14" fillId="0" borderId="48" xfId="0" applyNumberFormat="1" applyFont="1" applyFill="1" applyBorder="1"/>
    <xf numFmtId="164" fontId="14" fillId="0" borderId="22" xfId="0" applyNumberFormat="1" applyFont="1" applyFill="1" applyBorder="1"/>
    <xf numFmtId="164" fontId="14" fillId="0" borderId="23" xfId="0" applyNumberFormat="1" applyFont="1" applyFill="1" applyBorder="1"/>
    <xf numFmtId="164" fontId="14" fillId="0" borderId="24" xfId="0" applyNumberFormat="1" applyFont="1" applyFill="1" applyBorder="1"/>
    <xf numFmtId="164" fontId="0" fillId="10" borderId="58" xfId="0" applyNumberFormat="1" applyFill="1" applyBorder="1"/>
    <xf numFmtId="164" fontId="14" fillId="10" borderId="56" xfId="0" applyNumberFormat="1" applyFont="1" applyFill="1" applyBorder="1"/>
    <xf numFmtId="1" fontId="40" fillId="13" borderId="0" xfId="0" applyNumberFormat="1" applyFont="1" applyFill="1" applyAlignment="1">
      <alignment horizontal="left"/>
    </xf>
    <xf numFmtId="164" fontId="0" fillId="10" borderId="57" xfId="0" applyNumberFormat="1" applyFill="1" applyBorder="1"/>
    <xf numFmtId="164" fontId="14" fillId="10" borderId="0" xfId="0" applyNumberFormat="1" applyFont="1" applyFill="1" applyBorder="1"/>
    <xf numFmtId="1" fontId="40" fillId="13" borderId="0" xfId="0" applyNumberFormat="1" applyFont="1" applyFill="1" applyAlignment="1">
      <alignment horizontal="center"/>
    </xf>
    <xf numFmtId="1" fontId="40" fillId="13" borderId="0" xfId="0" applyNumberFormat="1" applyFont="1" applyFill="1" applyBorder="1"/>
    <xf numFmtId="164" fontId="40" fillId="13" borderId="0" xfId="0" applyNumberFormat="1" applyFont="1" applyFill="1" applyAlignment="1"/>
    <xf numFmtId="1" fontId="40" fillId="13" borderId="0" xfId="0" applyNumberFormat="1" applyFont="1" applyFill="1" applyAlignment="1"/>
    <xf numFmtId="164" fontId="0" fillId="10" borderId="59" xfId="0" applyNumberFormat="1" applyFill="1" applyBorder="1"/>
    <xf numFmtId="164" fontId="14" fillId="10" borderId="48" xfId="0" applyNumberFormat="1" applyFont="1" applyFill="1" applyBorder="1"/>
    <xf numFmtId="2" fontId="2" fillId="0" borderId="0" xfId="81" applyNumberFormat="1" applyBorder="1"/>
    <xf numFmtId="2" fontId="2" fillId="0" borderId="22" xfId="81" applyNumberFormat="1" applyBorder="1"/>
    <xf numFmtId="0" fontId="39" fillId="0" borderId="22" xfId="81" applyFont="1" applyBorder="1" applyAlignment="1">
      <alignment horizontal="center"/>
    </xf>
    <xf numFmtId="0" fontId="39" fillId="0" borderId="23" xfId="81" applyFont="1" applyBorder="1" applyAlignment="1">
      <alignment horizontal="center"/>
    </xf>
    <xf numFmtId="0" fontId="39" fillId="0" borderId="24" xfId="8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23" fillId="21" borderId="11" xfId="0" applyFont="1" applyFill="1" applyBorder="1" applyAlignment="1">
      <alignment horizontal="center"/>
    </xf>
    <xf numFmtId="0" fontId="23" fillId="21" borderId="10" xfId="0" applyFont="1" applyFill="1" applyBorder="1" applyAlignment="1">
      <alignment horizontal="center"/>
    </xf>
    <xf numFmtId="164" fontId="12" fillId="21" borderId="11" xfId="0" applyNumberFormat="1" applyFont="1" applyFill="1" applyBorder="1"/>
    <xf numFmtId="164" fontId="12" fillId="21" borderId="10" xfId="0" applyNumberFormat="1" applyFont="1" applyFill="1" applyBorder="1"/>
    <xf numFmtId="164" fontId="12" fillId="21" borderId="9" xfId="0" applyNumberFormat="1" applyFont="1" applyFill="1" applyBorder="1"/>
    <xf numFmtId="164" fontId="12" fillId="21" borderId="11" xfId="0" applyNumberFormat="1" applyFont="1" applyFill="1" applyBorder="1" applyAlignment="1">
      <alignment horizontal="center"/>
    </xf>
    <xf numFmtId="164" fontId="12" fillId="21" borderId="10" xfId="0" applyNumberFormat="1" applyFont="1" applyFill="1" applyBorder="1" applyAlignment="1">
      <alignment horizontal="center"/>
    </xf>
    <xf numFmtId="164" fontId="12" fillId="21" borderId="9" xfId="0" applyNumberFormat="1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6" fontId="42" fillId="13" borderId="0" xfId="79" applyNumberFormat="1" applyFont="1" applyFill="1" applyAlignment="1">
      <alignment horizontal="center"/>
    </xf>
    <xf numFmtId="166" fontId="34" fillId="13" borderId="0" xfId="79" applyNumberFormat="1" applyFont="1" applyFill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0" fontId="1" fillId="0" borderId="0" xfId="82"/>
    <xf numFmtId="0" fontId="1" fillId="0" borderId="13" xfId="82" applyBorder="1"/>
    <xf numFmtId="0" fontId="1" fillId="0" borderId="15" xfId="82" applyBorder="1"/>
    <xf numFmtId="0" fontId="1" fillId="0" borderId="16" xfId="82" applyFill="1" applyBorder="1" applyAlignment="1">
      <alignment horizontal="center"/>
    </xf>
    <xf numFmtId="0" fontId="1" fillId="0" borderId="17" xfId="82" applyFill="1" applyBorder="1" applyAlignment="1">
      <alignment horizontal="center"/>
    </xf>
    <xf numFmtId="0" fontId="1" fillId="0" borderId="45" xfId="82" applyFill="1" applyBorder="1" applyAlignment="1">
      <alignment horizontal="center"/>
    </xf>
    <xf numFmtId="0" fontId="1" fillId="0" borderId="46" xfId="82" applyFill="1" applyBorder="1" applyAlignment="1">
      <alignment horizontal="center"/>
    </xf>
    <xf numFmtId="0" fontId="39" fillId="0" borderId="52" xfId="82" applyFont="1" applyBorder="1" applyAlignment="1">
      <alignment horizontal="center"/>
    </xf>
    <xf numFmtId="0" fontId="39" fillId="0" borderId="53" xfId="82" applyFont="1" applyBorder="1" applyAlignment="1">
      <alignment horizontal="center"/>
    </xf>
    <xf numFmtId="0" fontId="39" fillId="0" borderId="25" xfId="82" applyFont="1" applyBorder="1" applyAlignment="1">
      <alignment horizontal="center"/>
    </xf>
    <xf numFmtId="0" fontId="39" fillId="19" borderId="36" xfId="82" applyFont="1" applyFill="1" applyBorder="1" applyAlignment="1">
      <alignment horizontal="center"/>
    </xf>
    <xf numFmtId="0" fontId="39" fillId="19" borderId="38" xfId="82" applyFont="1" applyFill="1" applyBorder="1" applyAlignment="1">
      <alignment horizontal="center"/>
    </xf>
    <xf numFmtId="0" fontId="39" fillId="0" borderId="36" xfId="82" applyFont="1" applyFill="1" applyBorder="1" applyAlignment="1">
      <alignment horizontal="center"/>
    </xf>
    <xf numFmtId="0" fontId="39" fillId="0" borderId="40" xfId="82" applyFont="1" applyFill="1" applyBorder="1" applyAlignment="1">
      <alignment horizontal="center"/>
    </xf>
    <xf numFmtId="0" fontId="39" fillId="0" borderId="38" xfId="82" applyFont="1" applyFill="1" applyBorder="1" applyAlignment="1">
      <alignment horizontal="center"/>
    </xf>
    <xf numFmtId="0" fontId="39" fillId="19" borderId="37" xfId="82" applyFont="1" applyFill="1" applyBorder="1" applyAlignment="1">
      <alignment horizontal="center"/>
    </xf>
    <xf numFmtId="0" fontId="1" fillId="0" borderId="21" xfId="82" applyFont="1" applyFill="1" applyBorder="1" applyAlignment="1">
      <alignment horizontal="center"/>
    </xf>
    <xf numFmtId="0" fontId="1" fillId="0" borderId="60" xfId="82" applyFill="1" applyBorder="1" applyAlignment="1">
      <alignment horizontal="center"/>
    </xf>
    <xf numFmtId="1" fontId="1" fillId="0" borderId="13" xfId="82" applyNumberFormat="1" applyBorder="1" applyAlignment="1">
      <alignment horizontal="center"/>
    </xf>
    <xf numFmtId="1" fontId="1" fillId="0" borderId="14" xfId="82" applyNumberFormat="1" applyBorder="1" applyAlignment="1">
      <alignment horizontal="center"/>
    </xf>
    <xf numFmtId="1" fontId="1" fillId="0" borderId="15" xfId="82" applyNumberFormat="1" applyBorder="1" applyAlignment="1">
      <alignment horizontal="center"/>
    </xf>
    <xf numFmtId="1" fontId="1" fillId="19" borderId="49" xfId="82" applyNumberFormat="1" applyFill="1" applyBorder="1" applyAlignment="1">
      <alignment horizontal="center"/>
    </xf>
    <xf numFmtId="2" fontId="1" fillId="19" borderId="15" xfId="82" applyNumberFormat="1" applyFill="1" applyBorder="1" applyAlignment="1">
      <alignment horizontal="center"/>
    </xf>
    <xf numFmtId="1" fontId="1" fillId="0" borderId="13" xfId="82" applyNumberFormat="1" applyBorder="1"/>
    <xf numFmtId="1" fontId="1" fillId="0" borderId="14" xfId="82" applyNumberFormat="1" applyBorder="1"/>
    <xf numFmtId="1" fontId="1" fillId="0" borderId="15" xfId="82" applyNumberFormat="1" applyBorder="1"/>
    <xf numFmtId="1" fontId="1" fillId="19" borderId="24" xfId="82" applyNumberFormat="1" applyFill="1" applyBorder="1" applyAlignment="1">
      <alignment horizontal="center"/>
    </xf>
    <xf numFmtId="2" fontId="1" fillId="19" borderId="44" xfId="82" applyNumberFormat="1" applyFill="1" applyBorder="1" applyAlignment="1">
      <alignment horizontal="center"/>
    </xf>
    <xf numFmtId="2" fontId="1" fillId="0" borderId="20" xfId="82" applyNumberFormat="1" applyBorder="1"/>
    <xf numFmtId="0" fontId="39" fillId="0" borderId="28" xfId="82" applyFont="1" applyFill="1" applyBorder="1" applyAlignment="1">
      <alignment horizontal="center"/>
    </xf>
    <xf numFmtId="0" fontId="1" fillId="0" borderId="19" xfId="82" applyFill="1" applyBorder="1" applyAlignment="1">
      <alignment horizontal="center"/>
    </xf>
    <xf numFmtId="1" fontId="1" fillId="0" borderId="16" xfId="82" applyNumberFormat="1" applyBorder="1" applyAlignment="1">
      <alignment horizontal="center"/>
    </xf>
    <xf numFmtId="1" fontId="1" fillId="0" borderId="12" xfId="82" applyNumberFormat="1" applyBorder="1" applyAlignment="1">
      <alignment horizontal="center"/>
    </xf>
    <xf numFmtId="1" fontId="1" fillId="0" borderId="17" xfId="82" applyNumberFormat="1" applyBorder="1" applyAlignment="1">
      <alignment horizontal="center"/>
    </xf>
    <xf numFmtId="1" fontId="1" fillId="19" borderId="21" xfId="82" applyNumberFormat="1" applyFill="1" applyBorder="1" applyAlignment="1">
      <alignment horizontal="center"/>
    </xf>
    <xf numFmtId="1" fontId="1" fillId="0" borderId="16" xfId="82" applyNumberFormat="1" applyBorder="1"/>
    <xf numFmtId="1" fontId="1" fillId="0" borderId="12" xfId="82" applyNumberFormat="1" applyBorder="1"/>
    <xf numFmtId="1" fontId="1" fillId="0" borderId="17" xfId="82" applyNumberFormat="1" applyBorder="1"/>
    <xf numFmtId="0" fontId="1" fillId="0" borderId="28" xfId="82" applyFont="1" applyFill="1" applyBorder="1" applyAlignment="1">
      <alignment horizontal="center"/>
    </xf>
    <xf numFmtId="0" fontId="1" fillId="10" borderId="19" xfId="82" applyFill="1" applyBorder="1" applyAlignment="1">
      <alignment horizontal="center"/>
    </xf>
    <xf numFmtId="1" fontId="1" fillId="0" borderId="16" xfId="82" applyNumberFormat="1" applyFill="1" applyBorder="1"/>
    <xf numFmtId="0" fontId="1" fillId="10" borderId="0" xfId="82" applyFill="1"/>
    <xf numFmtId="0" fontId="1" fillId="0" borderId="0" xfId="82" applyFill="1"/>
    <xf numFmtId="1" fontId="1" fillId="15" borderId="16" xfId="82" applyNumberFormat="1" applyFill="1" applyBorder="1" applyAlignment="1">
      <alignment horizontal="center"/>
    </xf>
    <xf numFmtId="1" fontId="1" fillId="15" borderId="16" xfId="82" applyNumberFormat="1" applyFill="1" applyBorder="1"/>
    <xf numFmtId="0" fontId="1" fillId="15" borderId="0" xfId="82" applyFill="1"/>
    <xf numFmtId="1" fontId="1" fillId="0" borderId="0" xfId="82" applyNumberFormat="1"/>
    <xf numFmtId="0" fontId="39" fillId="0" borderId="28" xfId="82" applyFont="1" applyFill="1" applyBorder="1" applyAlignment="1">
      <alignment horizontal="center" vertical="center"/>
    </xf>
    <xf numFmtId="1" fontId="1" fillId="10" borderId="17" xfId="82" applyNumberFormat="1" applyFill="1" applyBorder="1" applyAlignment="1">
      <alignment horizontal="center"/>
    </xf>
    <xf numFmtId="0" fontId="1" fillId="0" borderId="28" xfId="82" applyFont="1" applyFill="1" applyBorder="1" applyAlignment="1">
      <alignment horizontal="center" vertical="center"/>
    </xf>
    <xf numFmtId="1" fontId="1" fillId="10" borderId="16" xfId="82" applyNumberFormat="1" applyFill="1" applyBorder="1" applyAlignment="1">
      <alignment horizontal="center"/>
    </xf>
    <xf numFmtId="0" fontId="1" fillId="10" borderId="12" xfId="82" applyFill="1" applyBorder="1" applyAlignment="1">
      <alignment horizontal="center"/>
    </xf>
    <xf numFmtId="0" fontId="39" fillId="0" borderId="61" xfId="82" applyFont="1" applyFill="1" applyBorder="1" applyAlignment="1">
      <alignment horizontal="center"/>
    </xf>
    <xf numFmtId="0" fontId="1" fillId="0" borderId="62" xfId="82" applyFill="1" applyBorder="1" applyAlignment="1">
      <alignment horizontal="center"/>
    </xf>
    <xf numFmtId="1" fontId="1" fillId="0" borderId="63" xfId="82" applyNumberFormat="1" applyBorder="1" applyAlignment="1">
      <alignment horizontal="center"/>
    </xf>
    <xf numFmtId="1" fontId="1" fillId="0" borderId="64" xfId="82" applyNumberFormat="1" applyBorder="1" applyAlignment="1">
      <alignment horizontal="center"/>
    </xf>
    <xf numFmtId="1" fontId="1" fillId="0" borderId="65" xfId="82" applyNumberFormat="1" applyBorder="1" applyAlignment="1">
      <alignment horizontal="center"/>
    </xf>
    <xf numFmtId="1" fontId="1" fillId="19" borderId="3" xfId="82" applyNumberFormat="1" applyFill="1" applyBorder="1" applyAlignment="1">
      <alignment horizontal="center"/>
    </xf>
    <xf numFmtId="2" fontId="1" fillId="19" borderId="66" xfId="82" applyNumberFormat="1" applyFill="1" applyBorder="1" applyAlignment="1">
      <alignment horizontal="center"/>
    </xf>
    <xf numFmtId="1" fontId="1" fillId="0" borderId="63" xfId="82" applyNumberFormat="1" applyBorder="1"/>
    <xf numFmtId="1" fontId="1" fillId="0" borderId="64" xfId="82" applyNumberFormat="1" applyBorder="1"/>
    <xf numFmtId="1" fontId="1" fillId="0" borderId="65" xfId="82" applyNumberFormat="1" applyBorder="1"/>
    <xf numFmtId="1" fontId="1" fillId="19" borderId="48" xfId="82" applyNumberFormat="1" applyFill="1" applyBorder="1" applyAlignment="1">
      <alignment horizontal="center"/>
    </xf>
    <xf numFmtId="2" fontId="1" fillId="0" borderId="42" xfId="82" applyNumberFormat="1" applyBorder="1"/>
    <xf numFmtId="0" fontId="39" fillId="19" borderId="60" xfId="82" applyFont="1" applyFill="1" applyBorder="1" applyAlignment="1">
      <alignment horizontal="center"/>
    </xf>
    <xf numFmtId="1" fontId="1" fillId="19" borderId="13" xfId="82" applyNumberFormat="1" applyFill="1" applyBorder="1" applyAlignment="1">
      <alignment horizontal="center"/>
    </xf>
    <xf numFmtId="1" fontId="1" fillId="19" borderId="14" xfId="82" applyNumberFormat="1" applyFill="1" applyBorder="1" applyAlignment="1">
      <alignment horizontal="center"/>
    </xf>
    <xf numFmtId="1" fontId="1" fillId="19" borderId="50" xfId="82" applyNumberFormat="1" applyFill="1" applyBorder="1" applyAlignment="1">
      <alignment horizontal="center"/>
    </xf>
    <xf numFmtId="1" fontId="1" fillId="24" borderId="13" xfId="82" applyNumberFormat="1" applyFill="1" applyBorder="1" applyAlignment="1">
      <alignment horizontal="center"/>
    </xf>
    <xf numFmtId="1" fontId="1" fillId="24" borderId="15" xfId="82" applyNumberFormat="1" applyFill="1" applyBorder="1" applyAlignment="1">
      <alignment horizontal="center"/>
    </xf>
    <xf numFmtId="1" fontId="1" fillId="19" borderId="15" xfId="82" applyNumberFormat="1" applyFill="1" applyBorder="1" applyAlignment="1">
      <alignment horizontal="center"/>
    </xf>
    <xf numFmtId="2" fontId="1" fillId="19" borderId="60" xfId="82" applyNumberFormat="1" applyFill="1" applyBorder="1"/>
    <xf numFmtId="0" fontId="39" fillId="19" borderId="19" xfId="82" applyFont="1" applyFill="1" applyBorder="1" applyAlignment="1">
      <alignment horizontal="center"/>
    </xf>
    <xf numFmtId="2" fontId="1" fillId="19" borderId="16" xfId="82" applyNumberFormat="1" applyFill="1" applyBorder="1" applyAlignment="1">
      <alignment horizontal="center"/>
    </xf>
    <xf numFmtId="2" fontId="1" fillId="19" borderId="12" xfId="82" applyNumberFormat="1" applyFill="1" applyBorder="1" applyAlignment="1">
      <alignment horizontal="center"/>
    </xf>
    <xf numFmtId="2" fontId="1" fillId="19" borderId="39" xfId="82" applyNumberFormat="1" applyFill="1" applyBorder="1" applyAlignment="1">
      <alignment horizontal="center"/>
    </xf>
    <xf numFmtId="2" fontId="1" fillId="24" borderId="16" xfId="82" applyNumberFormat="1" applyFill="1" applyBorder="1" applyAlignment="1">
      <alignment horizontal="center"/>
    </xf>
    <xf numFmtId="2" fontId="1" fillId="24" borderId="17" xfId="82" applyNumberFormat="1" applyFill="1" applyBorder="1" applyAlignment="1">
      <alignment horizontal="center"/>
    </xf>
    <xf numFmtId="2" fontId="1" fillId="19" borderId="17" xfId="82" applyNumberFormat="1" applyFill="1" applyBorder="1" applyAlignment="1">
      <alignment horizontal="center"/>
    </xf>
    <xf numFmtId="2" fontId="1" fillId="19" borderId="20" xfId="82" applyNumberFormat="1" applyFill="1" applyBorder="1"/>
    <xf numFmtId="0" fontId="39" fillId="19" borderId="67" xfId="82" applyFont="1" applyFill="1" applyBorder="1" applyAlignment="1">
      <alignment horizontal="center"/>
    </xf>
    <xf numFmtId="2" fontId="1" fillId="19" borderId="45" xfId="82" applyNumberFormat="1" applyFill="1" applyBorder="1" applyAlignment="1">
      <alignment horizontal="center"/>
    </xf>
    <xf numFmtId="2" fontId="1" fillId="19" borderId="30" xfId="82" applyNumberFormat="1" applyFill="1" applyBorder="1" applyAlignment="1">
      <alignment horizontal="center"/>
    </xf>
    <xf numFmtId="2" fontId="1" fillId="19" borderId="47" xfId="82" applyNumberFormat="1" applyFill="1" applyBorder="1" applyAlignment="1">
      <alignment horizontal="center"/>
    </xf>
    <xf numFmtId="2" fontId="1" fillId="24" borderId="45" xfId="82" applyNumberFormat="1" applyFill="1" applyBorder="1" applyAlignment="1">
      <alignment horizontal="center"/>
    </xf>
    <xf numFmtId="2" fontId="1" fillId="24" borderId="46" xfId="82" applyNumberFormat="1" applyFill="1" applyBorder="1" applyAlignment="1">
      <alignment horizontal="center"/>
    </xf>
    <xf numFmtId="2" fontId="1" fillId="19" borderId="46" xfId="82" applyNumberFormat="1" applyFill="1" applyBorder="1" applyAlignment="1">
      <alignment horizontal="center"/>
    </xf>
    <xf numFmtId="2" fontId="1" fillId="19" borderId="35" xfId="82" applyNumberFormat="1" applyFill="1" applyBorder="1"/>
    <xf numFmtId="0" fontId="1" fillId="0" borderId="2" xfId="82" applyBorder="1"/>
    <xf numFmtId="0" fontId="1" fillId="0" borderId="11" xfId="82" applyBorder="1"/>
    <xf numFmtId="0" fontId="1" fillId="0" borderId="0" xfId="82" applyBorder="1"/>
    <xf numFmtId="0" fontId="39" fillId="19" borderId="68" xfId="82" applyFont="1" applyFill="1" applyBorder="1" applyAlignment="1">
      <alignment horizontal="center"/>
    </xf>
    <xf numFmtId="0" fontId="39" fillId="19" borderId="69" xfId="82" applyFont="1" applyFill="1" applyBorder="1" applyAlignment="1">
      <alignment horizontal="center"/>
    </xf>
    <xf numFmtId="0" fontId="39" fillId="0" borderId="0" xfId="82" applyFont="1" applyFill="1" applyBorder="1" applyAlignment="1">
      <alignment horizontal="center"/>
    </xf>
    <xf numFmtId="0" fontId="1" fillId="23" borderId="60" xfId="82" applyFont="1" applyFill="1" applyBorder="1" applyAlignment="1">
      <alignment horizontal="center"/>
    </xf>
    <xf numFmtId="0" fontId="1" fillId="17" borderId="60" xfId="82" applyFill="1" applyBorder="1" applyAlignment="1">
      <alignment horizontal="center"/>
    </xf>
    <xf numFmtId="1" fontId="1" fillId="0" borderId="50" xfId="82" applyNumberFormat="1" applyBorder="1" applyAlignment="1">
      <alignment horizontal="center"/>
    </xf>
    <xf numFmtId="1" fontId="1" fillId="19" borderId="12" xfId="82" applyNumberFormat="1" applyFill="1" applyBorder="1" applyAlignment="1">
      <alignment horizontal="center"/>
    </xf>
    <xf numFmtId="0" fontId="1" fillId="0" borderId="0" xfId="82" applyNumberFormat="1"/>
    <xf numFmtId="164" fontId="1" fillId="0" borderId="0" xfId="82" applyNumberFormat="1" applyAlignment="1">
      <alignment horizontal="center"/>
    </xf>
    <xf numFmtId="1" fontId="1" fillId="0" borderId="0" xfId="82" applyNumberFormat="1" applyBorder="1"/>
    <xf numFmtId="164" fontId="1" fillId="0" borderId="0" xfId="82" applyNumberFormat="1" applyBorder="1"/>
    <xf numFmtId="2" fontId="1" fillId="0" borderId="49" xfId="82" applyNumberFormat="1" applyBorder="1" applyAlignment="1">
      <alignment horizontal="center"/>
    </xf>
    <xf numFmtId="2" fontId="1" fillId="0" borderId="34" xfId="82" applyNumberFormat="1" applyBorder="1" applyAlignment="1">
      <alignment horizontal="center"/>
    </xf>
    <xf numFmtId="0" fontId="1" fillId="23" borderId="19" xfId="82" applyFont="1" applyFill="1" applyBorder="1" applyAlignment="1">
      <alignment horizontal="center"/>
    </xf>
    <xf numFmtId="1" fontId="1" fillId="0" borderId="39" xfId="82" applyNumberFormat="1" applyBorder="1" applyAlignment="1">
      <alignment horizontal="center"/>
    </xf>
    <xf numFmtId="1" fontId="1" fillId="0" borderId="16" xfId="82" applyNumberFormat="1" applyFill="1" applyBorder="1" applyAlignment="1">
      <alignment horizontal="center"/>
    </xf>
    <xf numFmtId="2" fontId="1" fillId="0" borderId="21" xfId="82" applyNumberFormat="1" applyBorder="1" applyAlignment="1">
      <alignment horizontal="center"/>
    </xf>
    <xf numFmtId="2" fontId="1" fillId="0" borderId="42" xfId="82" applyNumberFormat="1" applyBorder="1" applyAlignment="1">
      <alignment horizontal="center"/>
    </xf>
    <xf numFmtId="0" fontId="1" fillId="17" borderId="19" xfId="82" applyFill="1" applyBorder="1" applyAlignment="1">
      <alignment horizontal="center"/>
    </xf>
    <xf numFmtId="0" fontId="1" fillId="23" borderId="19" xfId="82" applyFont="1" applyFill="1" applyBorder="1" applyAlignment="1">
      <alignment horizontal="center" vertical="center"/>
    </xf>
    <xf numFmtId="0" fontId="1" fillId="23" borderId="67" xfId="82" applyFont="1" applyFill="1" applyBorder="1" applyAlignment="1">
      <alignment horizontal="center"/>
    </xf>
    <xf numFmtId="1" fontId="1" fillId="10" borderId="63" xfId="82" applyNumberFormat="1" applyFill="1" applyBorder="1" applyAlignment="1">
      <alignment horizontal="center"/>
    </xf>
    <xf numFmtId="0" fontId="1" fillId="10" borderId="64" xfId="82" applyFill="1" applyBorder="1" applyAlignment="1">
      <alignment horizontal="center"/>
    </xf>
    <xf numFmtId="1" fontId="1" fillId="0" borderId="58" xfId="82" applyNumberFormat="1" applyBorder="1" applyAlignment="1">
      <alignment horizontal="center"/>
    </xf>
    <xf numFmtId="2" fontId="1" fillId="0" borderId="5" xfId="82" applyNumberFormat="1" applyBorder="1" applyAlignment="1">
      <alignment horizontal="center"/>
    </xf>
    <xf numFmtId="2" fontId="1" fillId="0" borderId="35" xfId="82" applyNumberFormat="1" applyBorder="1" applyAlignment="1">
      <alignment horizontal="center"/>
    </xf>
    <xf numFmtId="0" fontId="39" fillId="19" borderId="49" xfId="82" applyFont="1" applyFill="1" applyBorder="1" applyAlignment="1">
      <alignment horizontal="center"/>
    </xf>
    <xf numFmtId="1" fontId="1" fillId="24" borderId="44" xfId="82" applyNumberFormat="1" applyFill="1" applyBorder="1" applyAlignment="1">
      <alignment horizontal="center"/>
    </xf>
    <xf numFmtId="164" fontId="1" fillId="24" borderId="44" xfId="82" applyNumberFormat="1" applyFill="1" applyBorder="1" applyAlignment="1">
      <alignment horizontal="center"/>
    </xf>
    <xf numFmtId="2" fontId="1" fillId="24" borderId="44" xfId="82" applyNumberFormat="1" applyFill="1" applyBorder="1" applyAlignment="1">
      <alignment horizontal="center"/>
    </xf>
    <xf numFmtId="164" fontId="1" fillId="24" borderId="15" xfId="82" applyNumberFormat="1" applyFill="1" applyBorder="1" applyAlignment="1">
      <alignment horizontal="center"/>
    </xf>
    <xf numFmtId="0" fontId="39" fillId="19" borderId="28" xfId="82" applyFont="1" applyFill="1" applyBorder="1" applyAlignment="1">
      <alignment horizontal="center"/>
    </xf>
    <xf numFmtId="1" fontId="1" fillId="24" borderId="17" xfId="82" applyNumberFormat="1" applyFill="1" applyBorder="1" applyAlignment="1">
      <alignment horizontal="center"/>
    </xf>
    <xf numFmtId="164" fontId="1" fillId="24" borderId="17" xfId="82" applyNumberFormat="1" applyFill="1" applyBorder="1" applyAlignment="1">
      <alignment horizontal="center"/>
    </xf>
    <xf numFmtId="0" fontId="39" fillId="19" borderId="61" xfId="82" applyFont="1" applyFill="1" applyBorder="1" applyAlignment="1">
      <alignment horizontal="center"/>
    </xf>
    <xf numFmtId="1" fontId="1" fillId="24" borderId="46" xfId="82" applyNumberFormat="1" applyFill="1" applyBorder="1" applyAlignment="1">
      <alignment horizontal="center"/>
    </xf>
    <xf numFmtId="164" fontId="1" fillId="24" borderId="46" xfId="82" applyNumberFormat="1" applyFill="1" applyBorder="1" applyAlignment="1">
      <alignment horizontal="center"/>
    </xf>
    <xf numFmtId="0" fontId="1" fillId="0" borderId="0" xfId="82" applyAlignment="1">
      <alignment horizontal="center"/>
    </xf>
    <xf numFmtId="2" fontId="1" fillId="0" borderId="0" xfId="82" applyNumberFormat="1" applyBorder="1" applyAlignment="1">
      <alignment horizontal="center"/>
    </xf>
    <xf numFmtId="0" fontId="39" fillId="25" borderId="49" xfId="82" applyFont="1" applyFill="1" applyBorder="1" applyAlignment="1">
      <alignment horizontal="center"/>
    </xf>
    <xf numFmtId="0" fontId="1" fillId="26" borderId="60" xfId="82" applyFill="1" applyBorder="1" applyAlignment="1">
      <alignment horizontal="center"/>
    </xf>
    <xf numFmtId="1" fontId="1" fillId="19" borderId="70" xfId="82" applyNumberFormat="1" applyFill="1" applyBorder="1" applyAlignment="1">
      <alignment horizontal="center"/>
    </xf>
    <xf numFmtId="1" fontId="1" fillId="0" borderId="2" xfId="82" applyNumberFormat="1" applyBorder="1"/>
    <xf numFmtId="164" fontId="1" fillId="0" borderId="2" xfId="82" applyNumberFormat="1" applyBorder="1"/>
    <xf numFmtId="2" fontId="1" fillId="0" borderId="60" xfId="82" applyNumberFormat="1" applyBorder="1" applyAlignment="1">
      <alignment horizontal="center"/>
    </xf>
    <xf numFmtId="0" fontId="39" fillId="25" borderId="28" xfId="82" applyFont="1" applyFill="1" applyBorder="1" applyAlignment="1">
      <alignment horizontal="center"/>
    </xf>
    <xf numFmtId="0" fontId="1" fillId="26" borderId="19" xfId="82" applyFill="1" applyBorder="1" applyAlignment="1">
      <alignment horizontal="center"/>
    </xf>
    <xf numFmtId="1" fontId="1" fillId="19" borderId="16" xfId="82" applyNumberFormat="1" applyFill="1" applyBorder="1" applyAlignment="1">
      <alignment horizontal="center"/>
    </xf>
    <xf numFmtId="1" fontId="1" fillId="0" borderId="0" xfId="82" applyNumberFormat="1" applyBorder="1" applyAlignment="1">
      <alignment horizontal="center"/>
    </xf>
    <xf numFmtId="2" fontId="1" fillId="0" borderId="20" xfId="82" applyNumberFormat="1" applyBorder="1" applyAlignment="1">
      <alignment horizontal="center"/>
    </xf>
    <xf numFmtId="0" fontId="39" fillId="25" borderId="28" xfId="82" applyFont="1" applyFill="1" applyBorder="1" applyAlignment="1">
      <alignment horizontal="center" vertical="center"/>
    </xf>
    <xf numFmtId="1" fontId="1" fillId="15" borderId="39" xfId="82" applyNumberFormat="1" applyFill="1" applyBorder="1" applyAlignment="1">
      <alignment horizontal="center"/>
    </xf>
    <xf numFmtId="0" fontId="39" fillId="25" borderId="61" xfId="82" applyFont="1" applyFill="1" applyBorder="1" applyAlignment="1">
      <alignment horizontal="center"/>
    </xf>
    <xf numFmtId="0" fontId="1" fillId="26" borderId="67" xfId="82" applyFill="1" applyBorder="1" applyAlignment="1">
      <alignment horizontal="center"/>
    </xf>
    <xf numFmtId="1" fontId="1" fillId="19" borderId="45" xfId="82" applyNumberFormat="1" applyFill="1" applyBorder="1" applyAlignment="1">
      <alignment horizontal="center"/>
    </xf>
    <xf numFmtId="164" fontId="1" fillId="24" borderId="71" xfId="82" applyNumberFormat="1" applyFill="1" applyBorder="1" applyAlignment="1">
      <alignment horizontal="center"/>
    </xf>
    <xf numFmtId="2" fontId="1" fillId="24" borderId="29" xfId="82" applyNumberFormat="1" applyFill="1" applyBorder="1" applyAlignment="1">
      <alignment horizontal="center"/>
    </xf>
    <xf numFmtId="2" fontId="1" fillId="24" borderId="72" xfId="82" applyNumberFormat="1" applyFill="1" applyBorder="1" applyAlignment="1">
      <alignment horizontal="center"/>
    </xf>
    <xf numFmtId="0" fontId="39" fillId="19" borderId="3" xfId="82" applyFont="1" applyFill="1" applyBorder="1" applyAlignment="1">
      <alignment horizontal="center"/>
    </xf>
    <xf numFmtId="167" fontId="0" fillId="0" borderId="0" xfId="83" applyNumberFormat="1" applyFont="1"/>
    <xf numFmtId="0" fontId="9" fillId="0" borderId="1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8" xfId="0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0" fillId="18" borderId="2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11" fillId="14" borderId="11" xfId="0" applyFont="1" applyFill="1" applyBorder="1" applyAlignment="1">
      <alignment horizontal="center"/>
    </xf>
    <xf numFmtId="0" fontId="11" fillId="14" borderId="7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0" fontId="11" fillId="18" borderId="11" xfId="0" applyFont="1" applyFill="1" applyBorder="1" applyAlignment="1">
      <alignment horizontal="center"/>
    </xf>
    <xf numFmtId="0" fontId="11" fillId="18" borderId="7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14" borderId="34" xfId="0" applyFill="1" applyBorder="1" applyAlignment="1">
      <alignment horizontal="center" vertical="center"/>
    </xf>
    <xf numFmtId="0" fontId="0" fillId="14" borderId="42" xfId="0" applyFill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9" fillId="18" borderId="18" xfId="0" applyFont="1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5" xfId="0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0" fillId="18" borderId="2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9" fillId="18" borderId="11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/>
    </xf>
    <xf numFmtId="0" fontId="0" fillId="18" borderId="18" xfId="0" applyFill="1" applyBorder="1" applyAlignment="1">
      <alignment horizontal="center"/>
    </xf>
    <xf numFmtId="0" fontId="14" fillId="18" borderId="36" xfId="0" applyFont="1" applyFill="1" applyBorder="1" applyAlignment="1">
      <alignment horizontal="center"/>
    </xf>
    <xf numFmtId="0" fontId="14" fillId="18" borderId="38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11" fillId="18" borderId="18" xfId="0" applyFont="1" applyFill="1" applyBorder="1" applyAlignment="1">
      <alignment horizontal="center"/>
    </xf>
    <xf numFmtId="0" fontId="11" fillId="18" borderId="36" xfId="0" applyFont="1" applyFill="1" applyBorder="1" applyAlignment="1">
      <alignment horizontal="center"/>
    </xf>
    <xf numFmtId="0" fontId="11" fillId="18" borderId="38" xfId="0" applyFont="1" applyFill="1" applyBorder="1" applyAlignment="1">
      <alignment horizontal="center"/>
    </xf>
    <xf numFmtId="0" fontId="9" fillId="18" borderId="5" xfId="0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/>
    </xf>
    <xf numFmtId="0" fontId="9" fillId="18" borderId="6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14" fillId="14" borderId="36" xfId="0" applyFont="1" applyFill="1" applyBorder="1" applyAlignment="1">
      <alignment horizontal="center"/>
    </xf>
    <xf numFmtId="0" fontId="14" fillId="14" borderId="38" xfId="0" applyFont="1" applyFill="1" applyBorder="1" applyAlignment="1">
      <alignment horizontal="center"/>
    </xf>
    <xf numFmtId="0" fontId="9" fillId="14" borderId="18" xfId="0" applyFont="1" applyFill="1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1" fillId="18" borderId="1" xfId="0" applyFont="1" applyFill="1" applyBorder="1" applyAlignment="1">
      <alignment horizontal="center" vertical="center"/>
    </xf>
    <xf numFmtId="0" fontId="11" fillId="18" borderId="2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 vertical="center"/>
    </xf>
    <xf numFmtId="0" fontId="11" fillId="18" borderId="5" xfId="0" applyFont="1" applyFill="1" applyBorder="1" applyAlignment="1">
      <alignment horizontal="center" vertical="center"/>
    </xf>
    <xf numFmtId="0" fontId="11" fillId="18" borderId="6" xfId="0" applyFont="1" applyFill="1" applyBorder="1" applyAlignment="1">
      <alignment horizontal="center" vertical="center"/>
    </xf>
    <xf numFmtId="0" fontId="11" fillId="18" borderId="34" xfId="0" applyFont="1" applyFill="1" applyBorder="1" applyAlignment="1">
      <alignment horizontal="center"/>
    </xf>
    <xf numFmtId="0" fontId="11" fillId="18" borderId="11" xfId="0" applyFont="1" applyFill="1" applyBorder="1" applyAlignment="1">
      <alignment horizontal="center" vertical="center"/>
    </xf>
    <xf numFmtId="0" fontId="11" fillId="18" borderId="8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14" borderId="6" xfId="0" applyFont="1" applyFill="1" applyBorder="1" applyAlignment="1">
      <alignment horizontal="center" vertical="center"/>
    </xf>
    <xf numFmtId="0" fontId="11" fillId="14" borderId="34" xfId="0" applyFont="1" applyFill="1" applyBorder="1" applyAlignment="1">
      <alignment horizontal="center"/>
    </xf>
    <xf numFmtId="0" fontId="11" fillId="14" borderId="1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7" xfId="0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0" fontId="11" fillId="14" borderId="18" xfId="0" applyFont="1" applyFill="1" applyBorder="1" applyAlignment="1">
      <alignment horizontal="center"/>
    </xf>
    <xf numFmtId="0" fontId="11" fillId="14" borderId="1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0" fontId="11" fillId="18" borderId="9" xfId="0" applyFont="1" applyFill="1" applyBorder="1" applyAlignment="1">
      <alignment horizontal="center" vertical="center"/>
    </xf>
    <xf numFmtId="0" fontId="51" fillId="18" borderId="1" xfId="82" applyFont="1" applyFill="1" applyBorder="1" applyAlignment="1">
      <alignment horizontal="center"/>
    </xf>
    <xf numFmtId="0" fontId="51" fillId="18" borderId="2" xfId="82" applyFont="1" applyFill="1" applyBorder="1" applyAlignment="1">
      <alignment horizontal="center"/>
    </xf>
    <xf numFmtId="0" fontId="51" fillId="18" borderId="11" xfId="82" applyFont="1" applyFill="1" applyBorder="1" applyAlignment="1">
      <alignment horizontal="center"/>
    </xf>
    <xf numFmtId="0" fontId="51" fillId="18" borderId="3" xfId="82" applyFont="1" applyFill="1" applyBorder="1" applyAlignment="1">
      <alignment horizontal="center"/>
    </xf>
    <xf numFmtId="0" fontId="51" fillId="18" borderId="0" xfId="82" applyFont="1" applyFill="1" applyBorder="1" applyAlignment="1">
      <alignment horizontal="center"/>
    </xf>
    <xf numFmtId="0" fontId="51" fillId="18" borderId="10" xfId="82" applyFont="1" applyFill="1" applyBorder="1" applyAlignment="1">
      <alignment horizontal="center"/>
    </xf>
    <xf numFmtId="0" fontId="51" fillId="23" borderId="34" xfId="82" applyFont="1" applyFill="1" applyBorder="1" applyAlignment="1">
      <alignment horizontal="center"/>
    </xf>
    <xf numFmtId="0" fontId="51" fillId="23" borderId="35" xfId="82" applyFont="1" applyFill="1" applyBorder="1" applyAlignment="1">
      <alignment horizontal="center"/>
    </xf>
    <xf numFmtId="0" fontId="51" fillId="23" borderId="42" xfId="82" applyFont="1" applyFill="1" applyBorder="1" applyAlignment="1">
      <alignment horizontal="center"/>
    </xf>
    <xf numFmtId="0" fontId="50" fillId="0" borderId="1" xfId="82" applyFont="1" applyBorder="1" applyAlignment="1">
      <alignment horizontal="center"/>
    </xf>
    <xf numFmtId="0" fontId="50" fillId="0" borderId="2" xfId="82" applyFont="1" applyBorder="1" applyAlignment="1">
      <alignment horizontal="center"/>
    </xf>
    <xf numFmtId="0" fontId="50" fillId="0" borderId="11" xfId="82" applyFont="1" applyBorder="1" applyAlignment="1">
      <alignment horizontal="center"/>
    </xf>
    <xf numFmtId="0" fontId="50" fillId="0" borderId="5" xfId="82" applyFont="1" applyBorder="1" applyAlignment="1">
      <alignment horizontal="center"/>
    </xf>
    <xf numFmtId="0" fontId="50" fillId="0" borderId="6" xfId="82" applyFont="1" applyBorder="1" applyAlignment="1">
      <alignment horizontal="center"/>
    </xf>
    <xf numFmtId="0" fontId="50" fillId="0" borderId="9" xfId="82" applyFont="1" applyBorder="1" applyAlignment="1">
      <alignment horizontal="center"/>
    </xf>
    <xf numFmtId="0" fontId="51" fillId="22" borderId="1" xfId="82" applyFont="1" applyFill="1" applyBorder="1" applyAlignment="1">
      <alignment horizontal="center"/>
    </xf>
    <xf numFmtId="0" fontId="51" fillId="22" borderId="2" xfId="82" applyFont="1" applyFill="1" applyBorder="1" applyAlignment="1">
      <alignment horizontal="center"/>
    </xf>
    <xf numFmtId="0" fontId="51" fillId="22" borderId="11" xfId="82" applyFont="1" applyFill="1" applyBorder="1" applyAlignment="1">
      <alignment horizontal="center"/>
    </xf>
    <xf numFmtId="0" fontId="51" fillId="22" borderId="5" xfId="82" applyFont="1" applyFill="1" applyBorder="1" applyAlignment="1">
      <alignment horizontal="center"/>
    </xf>
    <xf numFmtId="0" fontId="51" fillId="22" borderId="6" xfId="82" applyFont="1" applyFill="1" applyBorder="1" applyAlignment="1">
      <alignment horizontal="center"/>
    </xf>
    <xf numFmtId="0" fontId="51" fillId="22" borderId="9" xfId="82" applyFont="1" applyFill="1" applyBorder="1" applyAlignment="1">
      <alignment horizontal="center"/>
    </xf>
    <xf numFmtId="0" fontId="52" fillId="0" borderId="0" xfId="82" applyFont="1" applyAlignment="1">
      <alignment horizontal="center" vertical="center"/>
    </xf>
    <xf numFmtId="0" fontId="39" fillId="0" borderId="58" xfId="81" applyFont="1" applyBorder="1" applyAlignment="1">
      <alignment horizontal="center"/>
    </xf>
    <xf numFmtId="0" fontId="39" fillId="0" borderId="57" xfId="81" applyFont="1" applyBorder="1" applyAlignment="1">
      <alignment horizontal="center"/>
    </xf>
    <xf numFmtId="0" fontId="39" fillId="0" borderId="59" xfId="81" applyFont="1" applyBorder="1" applyAlignment="1">
      <alignment horizontal="center"/>
    </xf>
    <xf numFmtId="0" fontId="39" fillId="0" borderId="56" xfId="81" applyFont="1" applyBorder="1" applyAlignment="1">
      <alignment horizontal="center"/>
    </xf>
    <xf numFmtId="0" fontId="39" fillId="0" borderId="0" xfId="81" applyFont="1" applyBorder="1" applyAlignment="1">
      <alignment horizontal="center"/>
    </xf>
    <xf numFmtId="0" fontId="39" fillId="0" borderId="48" xfId="81" applyFont="1" applyBorder="1" applyAlignment="1">
      <alignment horizontal="center"/>
    </xf>
    <xf numFmtId="0" fontId="39" fillId="0" borderId="0" xfId="81" applyFont="1" applyAlignment="1">
      <alignment horizontal="center"/>
    </xf>
    <xf numFmtId="0" fontId="40" fillId="13" borderId="27" xfId="79" applyFont="1" applyFill="1" applyBorder="1" applyAlignment="1">
      <alignment horizontal="center"/>
    </xf>
    <xf numFmtId="0" fontId="43" fillId="0" borderId="0" xfId="79" applyFon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40" fillId="13" borderId="55" xfId="0" applyFont="1" applyFill="1" applyBorder="1" applyAlignment="1">
      <alignment horizontal="center"/>
    </xf>
    <xf numFmtId="0" fontId="47" fillId="13" borderId="27" xfId="0" applyFont="1" applyFill="1" applyBorder="1" applyAlignment="1">
      <alignment horizontal="center"/>
    </xf>
    <xf numFmtId="0" fontId="47" fillId="13" borderId="23" xfId="0" applyFont="1" applyFill="1" applyBorder="1" applyAlignment="1">
      <alignment horizontal="center"/>
    </xf>
  </cellXfs>
  <cellStyles count="84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1" builtinId="9" hidden="1"/>
    <cellStyle name="Benyttet hyperkobling" xfId="43" builtinId="9" hidden="1"/>
    <cellStyle name="Benyttet hyperkobling" xfId="45" builtinId="9" hidden="1"/>
    <cellStyle name="Benyttet hyperkobling" xfId="47" builtinId="9" hidden="1"/>
    <cellStyle name="Benyttet hyperkobling" xfId="49" builtinId="9" hidden="1"/>
    <cellStyle name="Benyttet hyperkobling" xfId="51" builtinId="9" hidden="1"/>
    <cellStyle name="Benyttet hyperkobling" xfId="53" builtinId="9" hidden="1"/>
    <cellStyle name="Benyttet hyperkobling" xfId="55" builtinId="9" hidden="1"/>
    <cellStyle name="Benyttet hyperkobling" xfId="57" builtinId="9" hidden="1"/>
    <cellStyle name="Benyttet hyperkobling" xfId="59" builtinId="9" hidden="1"/>
    <cellStyle name="Benyttet hyperkobling" xfId="61" builtinId="9" hidden="1"/>
    <cellStyle name="Benyttet hyperkobling" xfId="63" builtinId="9" hidden="1"/>
    <cellStyle name="Benyttet hyperkobling" xfId="65" builtinId="9" hidden="1"/>
    <cellStyle name="Benyttet hyperkobling" xfId="67" builtinId="9" hidden="1"/>
    <cellStyle name="Benyttet hyperkobling" xfId="69" builtinId="9" hidden="1"/>
    <cellStyle name="Benyttet hyperkobling" xfId="71" builtinId="9" hidden="1"/>
    <cellStyle name="Benyttet hyperkobling" xfId="73" builtinId="9" hidden="1"/>
    <cellStyle name="Benyttet hyperkobling" xfId="75" builtinId="9" hidden="1"/>
    <cellStyle name="Dårlig" xfId="76" builtinId="27"/>
    <cellStyle name="God" xfId="39" builtinId="26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Hyperkobling" xfId="70" builtinId="8" hidden="1"/>
    <cellStyle name="Hyperkobling" xfId="72" builtinId="8" hidden="1"/>
    <cellStyle name="Hyperkobling" xfId="74" builtinId="8" hidden="1"/>
    <cellStyle name="Hyperkobling" xfId="78" builtinId="8"/>
    <cellStyle name="Hyperkobling 2" xfId="80"/>
    <cellStyle name="Komma 2" xfId="83"/>
    <cellStyle name="Normal" xfId="0" builtinId="0"/>
    <cellStyle name="Normal 2" xfId="79"/>
    <cellStyle name="Normal 3" xfId="81"/>
    <cellStyle name="Normal 4" xfId="82"/>
    <cellStyle name="Nøytral" xfId="77" builtinId="2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Training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('Treningsvolum iTRIMP'!$D$22:$G$22,'Treningsvolum iTRIMP'!$J$22:$L$22)</c:f>
              <c:numCache>
                <c:formatCode>0</c:formatCode>
                <c:ptCount val="7"/>
                <c:pt idx="0">
                  <c:v>1009.0820988004467</c:v>
                </c:pt>
                <c:pt idx="1">
                  <c:v>830.10061832059193</c:v>
                </c:pt>
                <c:pt idx="2">
                  <c:v>615.3684072060496</c:v>
                </c:pt>
                <c:pt idx="3">
                  <c:v>790.03396566046149</c:v>
                </c:pt>
                <c:pt idx="4">
                  <c:v>263.73911420183168</c:v>
                </c:pt>
                <c:pt idx="5">
                  <c:v>277.83260317392291</c:v>
                </c:pt>
                <c:pt idx="6">
                  <c:v>272.04472261537467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9-C34F-919F-741377D273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92035344"/>
        <c:axId val="2001776144"/>
      </c:barChart>
      <c:catAx>
        <c:axId val="1992035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Week</a:t>
                </a:r>
              </a:p>
            </c:rich>
          </c:tx>
          <c:layout>
            <c:manualLayout>
              <c:xMode val="edge"/>
              <c:yMode val="edge"/>
              <c:x val="0.46677704194260483"/>
              <c:y val="0.9129214142349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01776144"/>
        <c:crosses val="autoZero"/>
        <c:auto val="1"/>
        <c:lblAlgn val="ctr"/>
        <c:lblOffset val="100"/>
        <c:noMultiLvlLbl val="0"/>
      </c:catAx>
      <c:valAx>
        <c:axId val="2001776144"/>
        <c:scaling>
          <c:orientation val="minMax"/>
          <c:max val="12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iTrimp Training Load </a:t>
                </a:r>
              </a:p>
            </c:rich>
          </c:tx>
          <c:layout>
            <c:manualLayout>
              <c:xMode val="edge"/>
              <c:yMode val="edge"/>
              <c:x val="1.5452538631346579E-2"/>
              <c:y val="0.286578354176316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95000"/>
                <a:lumOff val="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203534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Training</a:t>
            </a:r>
            <a:r>
              <a:rPr lang="en-US" baseline="0">
                <a:solidFill>
                  <a:schemeClr val="tx1"/>
                </a:solidFill>
              </a:rPr>
              <a:t> Load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('Treningsvolum iTRIMP'!$D$61:$G$61,'Treningsvolum iTRIMP'!$T$61:$V$61)</c:f>
              <c:numCache>
                <c:formatCode>0</c:formatCode>
                <c:ptCount val="7"/>
                <c:pt idx="0">
                  <c:v>1058.4490222331658</c:v>
                </c:pt>
                <c:pt idx="1">
                  <c:v>713.99549115584352</c:v>
                </c:pt>
                <c:pt idx="2">
                  <c:v>564.69018057780386</c:v>
                </c:pt>
                <c:pt idx="3">
                  <c:v>663.21212569395766</c:v>
                </c:pt>
                <c:pt idx="4">
                  <c:v>237.20152371843506</c:v>
                </c:pt>
                <c:pt idx="5">
                  <c:v>282.09559290667698</c:v>
                </c:pt>
                <c:pt idx="6">
                  <c:v>272.72399797087519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C-BE42-8963-A16FA85865EE}"/>
            </c:ext>
          </c:extLst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('Treningsvolum iTRIMP'!$D$74:$G$74,'Treningsvolum iTRIMP'!$T$74:$V$74)</c:f>
              <c:numCache>
                <c:formatCode>0</c:formatCode>
                <c:ptCount val="7"/>
                <c:pt idx="0">
                  <c:v>1029.8027685878362</c:v>
                </c:pt>
                <c:pt idx="1">
                  <c:v>928.2617360946997</c:v>
                </c:pt>
                <c:pt idx="2">
                  <c:v>658.92714159433638</c:v>
                </c:pt>
                <c:pt idx="3">
                  <c:v>974.52186884418506</c:v>
                </c:pt>
                <c:pt idx="4">
                  <c:v>291.15672759797991</c:v>
                </c:pt>
                <c:pt idx="5">
                  <c:v>258.40210437335253</c:v>
                </c:pt>
                <c:pt idx="6">
                  <c:v>426.06017845323822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C-BE42-8963-A16FA858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3768192"/>
        <c:axId val="1883274704"/>
      </c:barChart>
      <c:catAx>
        <c:axId val="2113768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Week</a:t>
                </a:r>
              </a:p>
            </c:rich>
          </c:tx>
          <c:layout>
            <c:manualLayout>
              <c:xMode val="edge"/>
              <c:yMode val="edge"/>
              <c:x val="0.47315730361665409"/>
              <c:y val="0.86129675549095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3274704"/>
        <c:crosses val="autoZero"/>
        <c:auto val="1"/>
        <c:lblAlgn val="ctr"/>
        <c:lblOffset val="100"/>
        <c:noMultiLvlLbl val="0"/>
      </c:catAx>
      <c:valAx>
        <c:axId val="1883274704"/>
        <c:scaling>
          <c:orientation val="minMax"/>
          <c:max val="12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iTRIMP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95000"/>
                <a:lumOff val="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376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334285</xdr:colOff>
      <xdr:row>28</xdr:row>
      <xdr:rowOff>58439</xdr:rowOff>
    </xdr:from>
    <xdr:to>
      <xdr:col>9</xdr:col>
      <xdr:colOff>639529</xdr:colOff>
      <xdr:row>45</xdr:row>
      <xdr:rowOff>199204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FA7418-4E82-044F-9A09-9072D24D9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100010</xdr:colOff>
      <xdr:row>28</xdr:row>
      <xdr:rowOff>150895</xdr:rowOff>
    </xdr:from>
    <xdr:to>
      <xdr:col>40</xdr:col>
      <xdr:colOff>592712</xdr:colOff>
      <xdr:row>53</xdr:row>
      <xdr:rowOff>167602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4B4261-001E-D34B-9562-055AF69B1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0.79699</cdr:x>
      <cdr:y>0.12856</cdr:y>
    </cdr:from>
    <cdr:to>
      <cdr:x>0.92833</cdr:x>
      <cdr:y>0.27645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5F3043-C044-5A46-9DAE-49BA70355C2C}"/>
            </a:ext>
          </a:extLst>
        </cdr:cNvPr>
        <cdr:cNvSpPr txBox="1"/>
      </cdr:nvSpPr>
      <cdr:spPr>
        <a:xfrm xmlns:a="http://schemas.openxmlformats.org/drawingml/2006/main">
          <a:off x="7750060" y="668212"/>
          <a:ext cx="1277098" cy="768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Control </a:t>
          </a:r>
          <a:r>
            <a:rPr lang="en-US" sz="1100" baseline="0"/>
            <a:t> -63.14%</a:t>
          </a:r>
        </a:p>
        <a:p xmlns:a="http://schemas.openxmlformats.org/drawingml/2006/main">
          <a:r>
            <a:rPr lang="en-US" sz="1100" baseline="0"/>
            <a:t>Sprinters  -62.32%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Lillehammer\Results\Prestasjonstest\Pre\FP101\FP101%20Laktatprofil+VO2peak+60+20min%20P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re\FP410%20Pretest\2018.05.26_FP410_PRE_13.0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Bergen\Results\Prestasjonstest\Pre\FP304\20180927_FP304_Laktatprofil+VO2peak+60+20min_PRE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Bergen\Results\Prestasjonstest\Pre\FP304\20180927_FP304_Laktatprofil+VO2peak+60+20min_PR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re\FP420%20Pretest\2018.09.27_FP420_pre_17.0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re\FP440%20Pretest\2018.10.02_FP440_13.00.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re\FP470%20Pretest\2018.10.05_FP70_13.0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re\FP450%20Pretest\2018.10.3_FP450_16.00%20(new)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re\FP460%20Pretest\2018.10.04_FP460_13.3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Lillehammer\Results\Prestasjonstest\Post\FP101\FP101%20Laktatprofil+VO2peak+60+20min%20Pos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Lillehammer\Results\Prestasjonstest\Post\FP102\FP102%20Laktatprofil+VO2peak+60+20m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Lillehammer\Results\Prestasjonstest\Pre\FP102\FP102%20Laktatprofil+VO2peak+60+20min%20pr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Lillehammer\Results\Prestasjonstest\Post\FP104\FP104%20Laktatprofil+VO2peak+60+20mi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Kristiansand\Results\Prestasjonstest\Post\FP204\FP204%20POST%2018.10.18%20kl%2008.00%20Laktatprofil+VO2peak+60+20min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Kristiansand\Results\Prestasjonstest\Post\FP203\FP203%20POST%20kl.%2010.45%2020.10.18%2060+20mi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Bergen\Results\Prestasjonstest\Post\FP301\20181019_FP301_Laktatprofil+VO2peak+60+20min_POS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Kristiansand\Results\Prestasjonstest\Post\FP207\FP207%2017.10.18%20kl%2014.00%20Laktatprofil+VO2peak+60+20min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Bergen\Results\Prestasjonstest\Post\FP302\20181018_FP302_Laktat+VO2max_Pos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Bergen\Results\Prestasjonstest\Post\FP303\20181018_FP303_Laktat+VO2max_Pos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ost\FP410%20POST\18.10.17_FP410_Laktat+VO2max_post_12.0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Bergen\Results\Prestasjonstest\Post\FP304\20181025_FP304_VO2max_Terskel_60min_20min_POS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ost\FP420%20post\2018.10.18_FP420_post_16.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Lillehammer\Results\Prestasjonstest\Pre\FP104\FP104%20Laktatprofil+VO2peak+60+20min_pre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ost\FP440%20post\2018.10.23_FP440_post_13.0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ost\FP470%20Post\2018.10.26_FP470_POST_14.0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ost\FP450%20Post\2018.10.24_FP450_post_13.0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ost\FP460%20Post\2018.10.25_FP460_POST_12.0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Trondheim\Results\Prestasjonstest\Pre\FP420%20Pretest\FP420%20Laktatprofil%20RETEST%202.10.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NWA%20Samleark%2060min+4X30s+20min%20all-ou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ropbox\Multisenterstudier%20off-season\Kristiansand\Results\Prestasjonstest\Post\FP203\FP203%20POST%20kl.%2010.45%2020.10.18%2060+20min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Training%20Volume%20Summa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Kristiansand\Results\Prestasjonstest\Pre\FP204\FP204%2027.09.18%20kl.%2008.00%20Laktatprofil+VO2peak+60+20mi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Kristiansand\Results\Prestasjonstest\Pre\FP203\FP203%20NY!%20kl%2011.00%2060+20m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Bergen\Results\Prestasjonstest\Pre\FP301\20180927_FP301_Laktatprofil+VO2peak+60+20min_P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Kristiansand\Results\Prestasjonstest\Pre\FP207\FP207%2026.09.18%20kl%2014.00Laktatprofil+VO2peak+60+20mi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Bergen\Results\Prestasjonstest\Pre\FP302\20180926_FP302_Laktat+VO2max_Pr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file01hv.hil.local\brukere$\Users\inelovlien\Desktop\Multisenterstudier%20off-season\Bergen\Results\Prestasjonstest\Pre\FP303\20180926_FP303_Lakatat+VO2max_P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CORRECTED 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ktatprofil+VO2max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CORRECTED 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CORRECTED 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CORRECTED 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Laktatprofil+VO2max"/>
      <sheetName val="VO2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 20.10.18"/>
      <sheetName val="Laktatprofil+VO2max 19.10.18"/>
      <sheetName val="Lode 60+20min 20.10.18"/>
      <sheetName val="60min + sprinter + 20min 20.10.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CORRECTED 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CORRECTED 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CORRECTED 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2 60+20min"/>
      <sheetName val="CORRECTED Laktatprofil+VO2max"/>
      <sheetName val="Lode 60+20min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ktatprofil+VO2max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change Sprints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 20.10.18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101"/>
      <sheetName val="FP102"/>
      <sheetName val="FP104"/>
      <sheetName val="FP203"/>
      <sheetName val="FP204"/>
      <sheetName val="FP207"/>
      <sheetName val="FP301"/>
      <sheetName val="FP302"/>
      <sheetName val="FP303"/>
      <sheetName val="FP304"/>
      <sheetName val="FP410"/>
      <sheetName val="FP420"/>
      <sheetName val="FP440"/>
      <sheetName val="FP450"/>
      <sheetName val="FP460"/>
      <sheetName val="FP4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 29.09"/>
      <sheetName val="Laktatprofil+VO2max 28.09"/>
      <sheetName val="60min + sprinter + 20min 29.09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e 60+20min"/>
      <sheetName val="VO2 60+20min"/>
      <sheetName val="Laktatprofil+VO2max"/>
      <sheetName val="60min + sprinter + 20m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PO@4mm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zoomScale="75" workbookViewId="0">
      <selection activeCell="G72" sqref="G72"/>
    </sheetView>
  </sheetViews>
  <sheetFormatPr baseColWidth="10" defaultRowHeight="15.5"/>
  <sheetData>
    <row r="1" spans="1:39" ht="16" thickBot="1">
      <c r="A1" t="s">
        <v>111</v>
      </c>
    </row>
    <row r="2" spans="1:39" ht="16" thickBot="1">
      <c r="B2" s="1331" t="s">
        <v>47</v>
      </c>
      <c r="C2" s="1332"/>
      <c r="L2" s="1331" t="s">
        <v>47</v>
      </c>
      <c r="M2" s="1332"/>
      <c r="S2" s="142" t="s">
        <v>110</v>
      </c>
      <c r="T2" s="142"/>
      <c r="U2" s="142"/>
      <c r="W2" s="1333" t="s">
        <v>47</v>
      </c>
      <c r="X2" s="1334"/>
      <c r="Y2" s="18"/>
      <c r="Z2" s="18"/>
      <c r="AA2" s="18"/>
    </row>
    <row r="3" spans="1:39" ht="16" thickBot="1">
      <c r="B3" s="1335" t="s">
        <v>77</v>
      </c>
      <c r="C3" s="1337"/>
      <c r="D3" s="1339" t="s">
        <v>102</v>
      </c>
      <c r="E3" s="1341" t="s">
        <v>103</v>
      </c>
      <c r="F3" s="1345"/>
      <c r="G3" s="1342" t="s">
        <v>108</v>
      </c>
      <c r="H3" s="1343"/>
      <c r="I3" s="1345" t="s">
        <v>109</v>
      </c>
      <c r="J3" s="1346"/>
      <c r="L3" s="1335" t="s">
        <v>77</v>
      </c>
      <c r="M3" s="1337"/>
      <c r="N3" s="1328" t="s">
        <v>106</v>
      </c>
      <c r="O3" s="138" t="s">
        <v>107</v>
      </c>
      <c r="P3" s="1329" t="s">
        <v>108</v>
      </c>
      <c r="Q3" s="281" t="s">
        <v>109</v>
      </c>
      <c r="S3" t="s">
        <v>121</v>
      </c>
      <c r="W3" s="1344" t="s">
        <v>77</v>
      </c>
      <c r="X3" s="1337"/>
      <c r="Y3" s="1347" t="s">
        <v>102</v>
      </c>
      <c r="Z3" s="1349" t="s">
        <v>103</v>
      </c>
      <c r="AA3" s="1349"/>
      <c r="AB3" s="1342" t="s">
        <v>108</v>
      </c>
      <c r="AC3" s="1343"/>
      <c r="AD3" s="1345" t="s">
        <v>109</v>
      </c>
      <c r="AE3" s="1346"/>
      <c r="AG3" s="1331" t="s">
        <v>47</v>
      </c>
      <c r="AH3" s="1332"/>
    </row>
    <row r="4" spans="1:39" ht="16" thickBot="1">
      <c r="B4" s="1336"/>
      <c r="C4" s="1338"/>
      <c r="D4" s="1340"/>
      <c r="E4" s="149" t="s">
        <v>104</v>
      </c>
      <c r="F4" s="280" t="s">
        <v>105</v>
      </c>
      <c r="G4" s="13" t="s">
        <v>113</v>
      </c>
      <c r="H4" s="156" t="s">
        <v>114</v>
      </c>
      <c r="I4" s="157" t="s">
        <v>113</v>
      </c>
      <c r="J4" s="158" t="s">
        <v>114</v>
      </c>
      <c r="L4" s="1336"/>
      <c r="M4" s="1338"/>
      <c r="N4" s="1328"/>
      <c r="O4" s="139" t="s">
        <v>42</v>
      </c>
      <c r="P4" s="1330"/>
      <c r="Q4" s="281" t="s">
        <v>36</v>
      </c>
      <c r="S4" s="142" t="s">
        <v>120</v>
      </c>
      <c r="T4" t="s">
        <v>119</v>
      </c>
      <c r="W4" s="1336"/>
      <c r="X4" s="1338"/>
      <c r="Y4" s="1348"/>
      <c r="Z4" s="294" t="s">
        <v>104</v>
      </c>
      <c r="AA4" s="294" t="s">
        <v>105</v>
      </c>
      <c r="AB4" s="150" t="s">
        <v>113</v>
      </c>
      <c r="AC4" s="7" t="s">
        <v>114</v>
      </c>
      <c r="AD4" s="161" t="s">
        <v>113</v>
      </c>
      <c r="AE4" s="162" t="s">
        <v>114</v>
      </c>
      <c r="AG4" s="1335" t="s">
        <v>77</v>
      </c>
      <c r="AH4" s="1337"/>
      <c r="AI4" s="1328" t="s">
        <v>106</v>
      </c>
      <c r="AJ4" s="138" t="s">
        <v>107</v>
      </c>
      <c r="AK4" s="1329" t="s">
        <v>108</v>
      </c>
      <c r="AL4" s="281" t="s">
        <v>109</v>
      </c>
    </row>
    <row r="5" spans="1:39" ht="16" thickBot="1">
      <c r="B5" s="32" t="s">
        <v>60</v>
      </c>
      <c r="C5" s="121" t="s">
        <v>57</v>
      </c>
      <c r="D5" s="147">
        <f>'[1]Lode 60+20min'!$C$20</f>
        <v>239</v>
      </c>
      <c r="E5" s="146">
        <f>'[1]VO2 60+20min'!$K$4</f>
        <v>3593.4833333333331</v>
      </c>
      <c r="F5" s="146">
        <f>'[1]VO2 60+20min'!$L$4</f>
        <v>3549.1090909090908</v>
      </c>
      <c r="G5" s="154">
        <f>'[1]VO2 60+20min'!$Q$4</f>
        <v>0.84666666666666635</v>
      </c>
      <c r="H5" s="155">
        <f>'[1]VO2 60+20min'!$R$4</f>
        <v>0.86763636363636354</v>
      </c>
      <c r="I5" s="159">
        <f>D5/((E5/60000)*(4840*G5+16890))*100</f>
        <v>19.013637945384318</v>
      </c>
      <c r="J5" s="159">
        <f>D5/((F5/60000)*(4840*H5+16890))*100</f>
        <v>19.158716112986042</v>
      </c>
      <c r="L5" s="32" t="s">
        <v>60</v>
      </c>
      <c r="M5" s="133" t="s">
        <v>57</v>
      </c>
      <c r="N5" s="123">
        <v>225</v>
      </c>
      <c r="O5" s="140">
        <f>'[1]Laktatprofil+VO2max'!$C$5</f>
        <v>3381.9583333333335</v>
      </c>
      <c r="P5" s="145">
        <f>'[1]Laktatprofil+VO2max'!$X$11</f>
        <v>0.85666666666666635</v>
      </c>
      <c r="Q5" s="144">
        <f>N5/((O5/60000)*(4840*P5+16890))*100</f>
        <v>18.975658169696263</v>
      </c>
      <c r="W5" s="89" t="s">
        <v>61</v>
      </c>
      <c r="X5" s="121" t="s">
        <v>58</v>
      </c>
      <c r="Y5" s="147">
        <f>'[2]Lode 60+20min'!$C$29</f>
        <v>221</v>
      </c>
      <c r="Z5" s="126">
        <f>'[2]VO2 60+20min'!$K$4</f>
        <v>3396.8</v>
      </c>
      <c r="AA5" s="126">
        <f>'[2]VO2 60+20min'!$L$4</f>
        <v>3411.8148148148148</v>
      </c>
      <c r="AB5" s="169">
        <f>'[2]VO2 60+20min'!$Q$4</f>
        <v>0.81270833333333325</v>
      </c>
      <c r="AC5" s="169">
        <f>'[2]VO2 60+20min'!$R$4</f>
        <v>0.86277777777777787</v>
      </c>
      <c r="AD5" s="171">
        <f>Y5/((Z5/60000)*(4840*AB5+16890))*100</f>
        <v>18.746476259777356</v>
      </c>
      <c r="AE5" s="171">
        <f>Y5/((AA5/60000)*(4840*AC5+16890))*100</f>
        <v>18.449270586083472</v>
      </c>
      <c r="AG5" s="1336"/>
      <c r="AH5" s="1338"/>
      <c r="AI5" s="1328"/>
      <c r="AJ5" s="139" t="s">
        <v>42</v>
      </c>
      <c r="AK5" s="1330"/>
      <c r="AL5" s="149" t="s">
        <v>36</v>
      </c>
    </row>
    <row r="6" spans="1:39" ht="16" thickBot="1">
      <c r="B6" s="32" t="s">
        <v>60</v>
      </c>
      <c r="C6" s="122" t="s">
        <v>59</v>
      </c>
      <c r="D6" s="148">
        <f>'[3]Lode 60+20min'!$C$28</f>
        <v>222</v>
      </c>
      <c r="E6" s="151">
        <f>'[3]VO2 60+20min'!$K$4</f>
        <v>3382.2075471698113</v>
      </c>
      <c r="F6" s="151">
        <f>'[3]VO2 60+20min'!$L$4</f>
        <v>3376.9807692307691</v>
      </c>
      <c r="G6" s="152">
        <f>'[3]VO2 60+20min'!$Q$4</f>
        <v>0.83333333333333315</v>
      </c>
      <c r="H6" s="153">
        <f>'[3]VO2 60+20min'!$R$4</f>
        <v>0.90519230769230741</v>
      </c>
      <c r="I6" s="159">
        <f t="shared" ref="I6:I12" si="0">D6/((E6/60000)*(4840*G6+16890))*100</f>
        <v>18.822317571855905</v>
      </c>
      <c r="J6" s="159">
        <f t="shared" ref="J6:J12" si="1">D6/((F6/60000)*(4840*H6+16890))*100</f>
        <v>18.543216111870162</v>
      </c>
      <c r="L6" s="32" t="s">
        <v>60</v>
      </c>
      <c r="M6" s="134" t="s">
        <v>59</v>
      </c>
      <c r="N6" s="123">
        <v>225</v>
      </c>
      <c r="O6" s="144">
        <f>'[3]Laktatprofil+VO2max'!$C$5</f>
        <v>3423.8333333333335</v>
      </c>
      <c r="P6" s="145">
        <f>'[3]Laktatprofil+VO2max'!$X$11</f>
        <v>0.90708333333333357</v>
      </c>
      <c r="Q6" s="144">
        <f t="shared" ref="Q6:Q13" si="2">N6/((O6/60000)*(4840*P6+16890))*100</f>
        <v>18.528648677346972</v>
      </c>
      <c r="T6" s="282"/>
      <c r="W6" s="32" t="s">
        <v>61</v>
      </c>
      <c r="X6" s="121" t="s">
        <v>63</v>
      </c>
      <c r="Y6" s="147">
        <f>'[4]Lode 60+20min'!$C$13</f>
        <v>197</v>
      </c>
      <c r="Z6" s="126">
        <f>'[4]VO2 60+20min'!$K$4</f>
        <v>2972.1458333333335</v>
      </c>
      <c r="AA6" s="126">
        <f>'[4]VO2 60+20min'!$L$4</f>
        <v>3052.0384615384614</v>
      </c>
      <c r="AB6" s="169">
        <f>'[4]VO2 60+20min'!$Q$4</f>
        <v>0.87833333333333374</v>
      </c>
      <c r="AC6" s="169">
        <f>'[4]VO2 60+20min'!$R$4</f>
        <v>0.88240000000000007</v>
      </c>
      <c r="AD6" s="171">
        <f t="shared" ref="AD6:AD11" si="3">Y6/((Z6/60000)*(4840*AB6+16890))*100</f>
        <v>18.811312420588727</v>
      </c>
      <c r="AE6" s="171">
        <f t="shared" ref="AE6:AE11" si="4">Y6/((AA6/60000)*(4840*AC6+16890))*100</f>
        <v>18.301853026006601</v>
      </c>
      <c r="AG6" s="32" t="s">
        <v>60</v>
      </c>
      <c r="AH6" s="121" t="s">
        <v>58</v>
      </c>
      <c r="AI6" s="123">
        <v>225</v>
      </c>
      <c r="AJ6" s="173">
        <f>'[2]Laktatprofil+VO2max'!$V$11</f>
        <v>3268.7916666666665</v>
      </c>
      <c r="AK6" s="172">
        <f>'[2]Laktatprofil+VO2max'!$X$11</f>
        <v>0.8737499999999998</v>
      </c>
      <c r="AL6" s="160">
        <f>AI6/((AJ6/60000)*(4840*AK6+16890))*100</f>
        <v>19.555737742119799</v>
      </c>
    </row>
    <row r="7" spans="1:39" ht="16" thickBot="1">
      <c r="B7" s="32" t="s">
        <v>60</v>
      </c>
      <c r="C7" s="121" t="s">
        <v>62</v>
      </c>
      <c r="D7" s="147">
        <f>'[5]Lode 60+20min'!$C$32</f>
        <v>186</v>
      </c>
      <c r="E7" s="146">
        <f>'[5]VO2 60+20min 29.09'!$K$4</f>
        <v>2649.9583333333335</v>
      </c>
      <c r="F7" s="146">
        <f>'[5]VO2 60+20min 29.09'!$L$4</f>
        <v>2739.5769230769229</v>
      </c>
      <c r="G7" s="152">
        <f>'[5]VO2 60+20min 29.09'!$Q$4</f>
        <v>0.8364583333333333</v>
      </c>
      <c r="H7" s="153">
        <f>'[5]VO2 60+20min 29.09'!$R$4</f>
        <v>0.84560000000000035</v>
      </c>
      <c r="I7" s="159">
        <f t="shared" si="0"/>
        <v>20.113166425385167</v>
      </c>
      <c r="J7" s="159">
        <f t="shared" si="1"/>
        <v>19.414188462207164</v>
      </c>
      <c r="K7" t="s">
        <v>115</v>
      </c>
      <c r="L7" s="32" t="s">
        <v>60</v>
      </c>
      <c r="M7" s="133" t="s">
        <v>62</v>
      </c>
      <c r="N7" s="123">
        <v>225</v>
      </c>
      <c r="O7" s="144">
        <f>'[5]Laktatprofil+VO2max 28.09'!$V$11</f>
        <v>3215.4583333333335</v>
      </c>
      <c r="P7" s="145">
        <f>'[5]Laktatprofil+VO2max 28.09'!$X$11</f>
        <v>0.87791666666666679</v>
      </c>
      <c r="Q7" s="144">
        <f t="shared" si="2"/>
        <v>19.861134231647782</v>
      </c>
      <c r="R7" t="s">
        <v>115</v>
      </c>
      <c r="T7" s="282"/>
      <c r="W7" s="32" t="s">
        <v>61</v>
      </c>
      <c r="X7" s="121" t="s">
        <v>65</v>
      </c>
      <c r="Y7" s="147">
        <f>'[6]Lode 60+20min'!$C$70</f>
        <v>285</v>
      </c>
      <c r="Z7" s="126">
        <f>'[6]VO2 60+20min'!$K$4</f>
        <v>4070.7166666666667</v>
      </c>
      <c r="AA7" s="126">
        <f>'[6]VO2 60+20min'!$L$4</f>
        <v>4262.9677419354839</v>
      </c>
      <c r="AB7" s="169">
        <f>'[6]VO2 60+20min'!$Q$4</f>
        <v>0.87444444444444425</v>
      </c>
      <c r="AC7" s="169">
        <f>'[6]VO2 60+20min'!$R$4</f>
        <v>0.88421052631578967</v>
      </c>
      <c r="AD7" s="171">
        <f t="shared" si="3"/>
        <v>19.887665191087002</v>
      </c>
      <c r="AE7" s="171">
        <f t="shared" si="4"/>
        <v>18.948369448611324</v>
      </c>
      <c r="AG7" s="32" t="s">
        <v>60</v>
      </c>
      <c r="AH7" s="121" t="s">
        <v>63</v>
      </c>
      <c r="AI7" s="123">
        <v>225</v>
      </c>
      <c r="AJ7" s="170">
        <f>'[4]Laktatprofil+VO2max'!$V$11</f>
        <v>3316.2083333333335</v>
      </c>
      <c r="AK7" s="172">
        <f>'[4]Laktatprofil+VO2max'!$X$11</f>
        <v>0.90500000000000036</v>
      </c>
      <c r="AL7" s="160">
        <f t="shared" ref="AL7:AL12" si="5">AI7/((AJ7/60000)*(4840*AK7+16890))*100</f>
        <v>19.139050513539953</v>
      </c>
    </row>
    <row r="8" spans="1:39" ht="16" thickBot="1">
      <c r="B8" s="32" t="s">
        <v>60</v>
      </c>
      <c r="C8" s="121" t="s">
        <v>64</v>
      </c>
      <c r="D8" s="147">
        <f>'[7]Lode 60+20min'!$C$29</f>
        <v>166</v>
      </c>
      <c r="E8" s="146">
        <f>'[7]VO2 60+20min'!$K$4</f>
        <v>2425.0833333333335</v>
      </c>
      <c r="F8" s="146">
        <f>'[7]VO2 60+20min'!$L$4</f>
        <v>2484.6153846153848</v>
      </c>
      <c r="G8" s="152">
        <f>'[7]VO2 60+20min'!$Q$4</f>
        <v>0.85604166666666648</v>
      </c>
      <c r="H8" s="153">
        <f>'[7]VO2 60+20min'!$R$4</f>
        <v>0.90819999999999934</v>
      </c>
      <c r="I8" s="159">
        <f t="shared" si="0"/>
        <v>19.526592349975118</v>
      </c>
      <c r="J8" s="159">
        <f t="shared" si="1"/>
        <v>18.832695145443061</v>
      </c>
      <c r="L8" s="32" t="s">
        <v>60</v>
      </c>
      <c r="M8" s="133" t="s">
        <v>64</v>
      </c>
      <c r="N8" s="123">
        <v>225</v>
      </c>
      <c r="O8" s="144">
        <f>'[7]Laktatprofil+VO2max'!$C$5</f>
        <v>3258.875</v>
      </c>
      <c r="P8" s="145">
        <f>'[7]Laktatprofil+VO2max'!$X$11</f>
        <v>0.94583333333333319</v>
      </c>
      <c r="Q8" s="144">
        <f t="shared" si="2"/>
        <v>19.296469213031148</v>
      </c>
      <c r="T8" s="282"/>
      <c r="V8" s="286">
        <v>315</v>
      </c>
      <c r="W8" s="33" t="s">
        <v>61</v>
      </c>
      <c r="X8" s="121" t="s">
        <v>66</v>
      </c>
      <c r="Y8" s="147">
        <f>'[8]Lode 60+20min'!$C$6856</f>
        <v>264</v>
      </c>
      <c r="Z8" s="287">
        <f>'[8]VO2 60+20min'!$K$4</f>
        <v>3931.8536585365855</v>
      </c>
      <c r="AA8" s="287">
        <f>'[8]VO2 60+20min'!$L$4</f>
        <v>2985.7115384615386</v>
      </c>
      <c r="AB8" s="288">
        <f>'[8]VO2 60+20min'!$Q$4</f>
        <v>0.87857142857142856</v>
      </c>
      <c r="AC8" s="288" t="s">
        <v>116</v>
      </c>
      <c r="AD8" s="289">
        <f t="shared" si="3"/>
        <v>19.054865800162389</v>
      </c>
      <c r="AE8" s="289" t="s">
        <v>116</v>
      </c>
      <c r="AF8" s="286" t="s">
        <v>118</v>
      </c>
      <c r="AG8" s="32" t="s">
        <v>60</v>
      </c>
      <c r="AH8" s="121" t="s">
        <v>65</v>
      </c>
      <c r="AI8" s="123">
        <v>225</v>
      </c>
      <c r="AJ8" s="170">
        <f>'[6]Laktatprofil+VO2max'!$V$11</f>
        <v>3134.478260869565</v>
      </c>
      <c r="AK8" s="172">
        <f>'[6]Laktatprofil+VO2max'!$X$11</f>
        <v>0.90750000000000008</v>
      </c>
      <c r="AL8" s="160">
        <f t="shared" si="5"/>
        <v>20.237177716719732</v>
      </c>
    </row>
    <row r="9" spans="1:39" ht="16" thickBot="1">
      <c r="A9" s="286">
        <v>225</v>
      </c>
      <c r="B9" s="33" t="s">
        <v>60</v>
      </c>
      <c r="C9" s="121" t="s">
        <v>67</v>
      </c>
      <c r="D9" s="147">
        <f>'[9]Lode 60+20min'!$C$10802</f>
        <v>258</v>
      </c>
      <c r="E9" s="290">
        <f>'[9]VO2 60+20min'!$K$4</f>
        <v>3389.7333333333331</v>
      </c>
      <c r="F9" s="290">
        <f>'[9]VO2 60+20min'!$L$4</f>
        <v>3859.406779661017</v>
      </c>
      <c r="G9" s="291">
        <f>'[9]VO2 60+20min'!$Q$4</f>
        <v>0.89833333333333321</v>
      </c>
      <c r="H9" s="292">
        <f>'[9]VO2 60+20min'!$R$4</f>
        <v>0.91406779661016935</v>
      </c>
      <c r="I9" s="293">
        <f>A9/((E9/60000)*(4840*G9+16890))*100</f>
        <v>18.752362133193234</v>
      </c>
      <c r="J9" s="293">
        <f>D9/((F9/60000)*(4840*H9+16890))*100</f>
        <v>18.818441080854921</v>
      </c>
      <c r="K9" s="286" t="s">
        <v>118</v>
      </c>
      <c r="L9" s="32" t="s">
        <v>60</v>
      </c>
      <c r="M9" s="133" t="s">
        <v>67</v>
      </c>
      <c r="N9" s="123">
        <v>225</v>
      </c>
      <c r="O9" s="144">
        <f>'[9]Laktatprofil+VO2max'!$V$11</f>
        <v>3265.4347826086955</v>
      </c>
      <c r="P9" s="145">
        <f>'[9]Laktatprofil+VO2max'!$X$11</f>
        <v>0.95374999999999999</v>
      </c>
      <c r="Q9" s="144">
        <f t="shared" si="2"/>
        <v>19.223394717584142</v>
      </c>
      <c r="T9" s="282"/>
      <c r="V9">
        <v>255</v>
      </c>
      <c r="W9" s="32" t="s">
        <v>61</v>
      </c>
      <c r="X9" s="121" t="s">
        <v>69</v>
      </c>
      <c r="Y9" s="147">
        <f>'[10]Lode 60+20min'!$C$10651</f>
        <v>246</v>
      </c>
      <c r="Z9" s="126">
        <f>'[10]VO2 60+20min'!$K$8</f>
        <v>3410.4616666666666</v>
      </c>
      <c r="AA9" s="126">
        <f>'[10]VO2 60+20min'!$L$8</f>
        <v>3202.749230769231</v>
      </c>
      <c r="AB9" s="169">
        <f>'[10]VO2 60+20min'!$Q$8</f>
        <v>0.87583333333333335</v>
      </c>
      <c r="AC9" s="169">
        <f>'[10]VO2 60+20min'!$R$8</f>
        <v>0.8780769230769232</v>
      </c>
      <c r="AD9" s="171">
        <f>V9/((Z9/60000)*(4840*AB9+16890))*100</f>
        <v>21.232377646435435</v>
      </c>
      <c r="AE9" s="171">
        <f t="shared" si="4"/>
        <v>21.800208705557473</v>
      </c>
      <c r="AF9" t="s">
        <v>112</v>
      </c>
      <c r="AG9" s="32" t="s">
        <v>60</v>
      </c>
      <c r="AH9" s="121" t="s">
        <v>66</v>
      </c>
      <c r="AI9" s="123">
        <v>225</v>
      </c>
      <c r="AJ9" s="170">
        <f>'[8]Laktatprofil+VO2max'!$V$11</f>
        <v>3318.1739130434785</v>
      </c>
      <c r="AK9" s="172">
        <f>'[8]Laktatprofil+VO2max'!$X$11</f>
        <v>0.95916666666666683</v>
      </c>
      <c r="AL9" s="160">
        <f t="shared" si="5"/>
        <v>18.894824272448371</v>
      </c>
    </row>
    <row r="10" spans="1:39" ht="16" thickBot="1">
      <c r="B10" s="32" t="s">
        <v>60</v>
      </c>
      <c r="C10" s="121" t="s">
        <v>68</v>
      </c>
      <c r="D10" s="147">
        <f>'[11]Lode 60+20min'!$C$35</f>
        <v>208</v>
      </c>
      <c r="E10" s="146">
        <f>'[11]VO2 60+20min'!$K$4</f>
        <v>3079.6774193548385</v>
      </c>
      <c r="F10" s="146">
        <f>'[11]VO2 60+20min'!$L$4</f>
        <v>3210.5645161290322</v>
      </c>
      <c r="G10" s="152">
        <f>'[11]VO2 60+20min'!$Q$4</f>
        <v>0.84458333333333335</v>
      </c>
      <c r="H10" s="153">
        <f>'[11]VO2 60+20min'!$R$4</f>
        <v>0.66360000000000019</v>
      </c>
      <c r="I10" s="159">
        <f t="shared" si="0"/>
        <v>19.317448410238022</v>
      </c>
      <c r="J10" s="159">
        <f t="shared" si="1"/>
        <v>19.337383828600359</v>
      </c>
      <c r="L10" s="32" t="s">
        <v>60</v>
      </c>
      <c r="M10" s="133" t="s">
        <v>68</v>
      </c>
      <c r="N10" s="123">
        <v>225</v>
      </c>
      <c r="O10" s="144">
        <f>'[12]Laktatprofil+VO2max'!$V$11</f>
        <v>3289.8260869565215</v>
      </c>
      <c r="P10" s="145">
        <f>'[12]Laktatprofil+VO2max'!$X$11</f>
        <v>0.93750000000000011</v>
      </c>
      <c r="Q10" s="144">
        <f t="shared" si="2"/>
        <v>19.150906002995814</v>
      </c>
      <c r="T10" s="282"/>
      <c r="W10" s="32" t="s">
        <v>61</v>
      </c>
      <c r="X10" s="121" t="s">
        <v>70</v>
      </c>
      <c r="Y10" s="147">
        <f>'[13]Lode 60+20min'!$C$40</f>
        <v>176</v>
      </c>
      <c r="Z10" s="126">
        <f>'[13]VO2 60+20min'!$K$9</f>
        <v>2646.3681967213115</v>
      </c>
      <c r="AA10" s="126">
        <f>'[13]VO2 60+20min'!$L$9</f>
        <v>2763.3384615384621</v>
      </c>
      <c r="AB10" s="169">
        <f>'[13]VO2 60+20min'!$Q$9</f>
        <v>0.79786885245901606</v>
      </c>
      <c r="AC10" s="169">
        <f>'[13]VO2 60+20min'!$R$9</f>
        <v>0.79519230769230786</v>
      </c>
      <c r="AD10" s="171">
        <f t="shared" si="3"/>
        <v>19.229158444477477</v>
      </c>
      <c r="AE10" s="171">
        <f t="shared" si="4"/>
        <v>18.426704137429276</v>
      </c>
      <c r="AG10" s="33" t="s">
        <v>60</v>
      </c>
      <c r="AH10" s="121" t="s">
        <v>69</v>
      </c>
      <c r="AI10" s="123">
        <v>225</v>
      </c>
      <c r="AJ10" s="170">
        <f>'[10]CORRECTED Laktatprofil+VO2max'!$V$11</f>
        <v>3128.7666666666669</v>
      </c>
      <c r="AK10" s="172">
        <f>'[10]CORRECTED Laktatprofil+VO2max'!$X$11</f>
        <v>0.92428571428571416</v>
      </c>
      <c r="AL10" s="160">
        <f t="shared" si="5"/>
        <v>20.19702096003429</v>
      </c>
    </row>
    <row r="11" spans="1:39" ht="16" thickBot="1">
      <c r="B11" s="32" t="s">
        <v>60</v>
      </c>
      <c r="C11" s="121" t="s">
        <v>71</v>
      </c>
      <c r="D11" s="147">
        <f>'[14]Lode 60+20min'!$C$42</f>
        <v>232</v>
      </c>
      <c r="E11" s="151">
        <f>'[14]VO2 60+20min'!$K$10</f>
        <v>3276.6511475409839</v>
      </c>
      <c r="F11" s="151">
        <f>'[14]VO2 60+20min'!$L$10</f>
        <v>3480.5013114754101</v>
      </c>
      <c r="G11" s="152">
        <f>'[14]VO2 60+20min'!$Q$10</f>
        <v>0.85278688524590207</v>
      </c>
      <c r="H11" s="153">
        <f>'[14]VO2 60+20min'!$R$10</f>
        <v>0.86803278688524632</v>
      </c>
      <c r="I11" s="159">
        <f t="shared" si="0"/>
        <v>20.212880579315126</v>
      </c>
      <c r="J11" s="159">
        <f t="shared" si="1"/>
        <v>18.962453258392443</v>
      </c>
      <c r="L11" s="32" t="s">
        <v>60</v>
      </c>
      <c r="M11" s="133" t="s">
        <v>71</v>
      </c>
      <c r="N11" s="123">
        <v>225</v>
      </c>
      <c r="O11" s="144">
        <f>'[14]CORRECTED Laktatprofil+VO2max'!$V$11</f>
        <v>3334.3930769230769</v>
      </c>
      <c r="P11" s="145">
        <f>'[14]CORRECTED Laktatprofil+VO2max'!$X$11</f>
        <v>0.9276923076923077</v>
      </c>
      <c r="Q11" s="144">
        <f t="shared" si="2"/>
        <v>18.936889588527535</v>
      </c>
      <c r="T11" s="282"/>
      <c r="W11" s="53" t="s">
        <v>61</v>
      </c>
      <c r="X11" s="121" t="s">
        <v>74</v>
      </c>
      <c r="Y11" s="147">
        <f>'[15]Lode 60+20min'!$C$17</f>
        <v>203</v>
      </c>
      <c r="Z11" s="126">
        <f>'[15]VO2 60+20min'!$K$9</f>
        <v>3194.9268852459018</v>
      </c>
      <c r="AA11" s="126">
        <f>'[15]VO2 60+20min'!$L$9</f>
        <v>3296.3396491228073</v>
      </c>
      <c r="AB11" s="169">
        <f>'[15]VO2 60+20min'!$Q$9</f>
        <v>0.86475409836065553</v>
      </c>
      <c r="AC11" s="169">
        <f>'[15]VO2 60+20min'!$R$9</f>
        <v>0.85526315789473695</v>
      </c>
      <c r="AD11" s="171">
        <f t="shared" si="3"/>
        <v>18.088824100702066</v>
      </c>
      <c r="AE11" s="171">
        <f t="shared" si="4"/>
        <v>17.570613694815282</v>
      </c>
      <c r="AG11" s="32" t="s">
        <v>60</v>
      </c>
      <c r="AH11" s="121" t="s">
        <v>70</v>
      </c>
      <c r="AI11" s="123">
        <v>225</v>
      </c>
      <c r="AJ11" s="170">
        <f>'[13]Laktatprofil+VO2max'!$AH$11</f>
        <v>3148.7991304347829</v>
      </c>
      <c r="AK11" s="172">
        <f>'[13]Laktatprofil+VO2max'!$AJ$11</f>
        <v>0.8595652173913042</v>
      </c>
      <c r="AL11" s="160">
        <f t="shared" si="5"/>
        <v>20.367166408501308</v>
      </c>
      <c r="AM11" t="s">
        <v>123</v>
      </c>
    </row>
    <row r="12" spans="1:39" ht="16" thickBot="1">
      <c r="B12" s="32" t="s">
        <v>60</v>
      </c>
      <c r="C12" s="121" t="s">
        <v>72</v>
      </c>
      <c r="D12" s="147">
        <f>'[16]Lode 60+20min'!$C$26</f>
        <v>210</v>
      </c>
      <c r="E12" s="146">
        <f>'[16]VO2 60+20min'!$K$9</f>
        <v>3098.4698305084748</v>
      </c>
      <c r="F12" s="146">
        <f>'[16]VO2 60+20min'!$L$9</f>
        <v>3265.2593333333334</v>
      </c>
      <c r="G12" s="152">
        <f>'[16]VO2 60+20min'!$Q$9</f>
        <v>0.78118644067796639</v>
      </c>
      <c r="H12" s="153">
        <f>'[16]VO2 60+20min'!$R$9</f>
        <v>0.76383333333333359</v>
      </c>
      <c r="I12" s="159">
        <f t="shared" si="0"/>
        <v>19.67265596346067</v>
      </c>
      <c r="J12" s="159">
        <f t="shared" si="1"/>
        <v>18.743935690650279</v>
      </c>
      <c r="K12" s="7"/>
      <c r="L12" s="32" t="s">
        <v>60</v>
      </c>
      <c r="M12" s="133" t="s">
        <v>72</v>
      </c>
      <c r="N12" s="123">
        <v>225</v>
      </c>
      <c r="O12" s="144">
        <f>'[16]CORRECTED Laktatprofil+VO2max'!$V$11</f>
        <v>3250.4458333333337</v>
      </c>
      <c r="P12" s="145">
        <f>'[16]CORRECTED Laktatprofil+VO2max'!$X$11</f>
        <v>0.91375000000000028</v>
      </c>
      <c r="Q12" s="144">
        <f t="shared" si="2"/>
        <v>19.487468226552807</v>
      </c>
      <c r="T12" s="282"/>
      <c r="W12" s="26"/>
      <c r="X12" s="16" t="s">
        <v>76</v>
      </c>
      <c r="Y12" s="275">
        <f>AVERAGE(Y5:Y11)</f>
        <v>227.42857142857142</v>
      </c>
      <c r="Z12" s="275">
        <f t="shared" ref="Z12:AE12" si="6">AVERAGE(Z5:Z11)</f>
        <v>3374.7532724529237</v>
      </c>
      <c r="AA12" s="275">
        <f t="shared" si="6"/>
        <v>3282.1371283115427</v>
      </c>
      <c r="AB12" s="124">
        <f t="shared" si="6"/>
        <v>0.8546448319765062</v>
      </c>
      <c r="AC12" s="124">
        <f t="shared" si="6"/>
        <v>0.85965344879292271</v>
      </c>
      <c r="AD12" s="124">
        <f t="shared" si="6"/>
        <v>19.292954266175776</v>
      </c>
      <c r="AE12" s="124">
        <f t="shared" si="6"/>
        <v>18.916169933083903</v>
      </c>
      <c r="AG12" s="32" t="s">
        <v>60</v>
      </c>
      <c r="AH12" s="121" t="s">
        <v>74</v>
      </c>
      <c r="AI12" s="123">
        <v>225</v>
      </c>
      <c r="AJ12" s="170">
        <f>'[15]CORRECTED Laktatprofil+VO2max'!$V$11</f>
        <v>3461.2533333333336</v>
      </c>
      <c r="AK12" s="172">
        <f>'[15]CORRECTED Laktatprofil+VO2max'!$X$11</f>
        <v>0.93500000000000005</v>
      </c>
      <c r="AL12" s="160">
        <f t="shared" si="5"/>
        <v>18.212694000147781</v>
      </c>
    </row>
    <row r="13" spans="1:39" ht="16" thickBot="1">
      <c r="B13" s="53" t="s">
        <v>60</v>
      </c>
      <c r="C13" s="121" t="s">
        <v>73</v>
      </c>
      <c r="D13" s="147">
        <f>'[17]Lode 60+20min'!$C$17</f>
        <v>218</v>
      </c>
      <c r="E13" s="285"/>
      <c r="F13" s="285"/>
      <c r="G13" s="285"/>
      <c r="H13" s="285"/>
      <c r="I13" s="285"/>
      <c r="J13" s="285"/>
      <c r="K13" s="7" t="s">
        <v>112</v>
      </c>
      <c r="L13" s="53" t="s">
        <v>60</v>
      </c>
      <c r="M13" s="133" t="s">
        <v>73</v>
      </c>
      <c r="N13" s="123">
        <v>225</v>
      </c>
      <c r="O13" s="144">
        <f>'[17]Laktatprofil+VO2max'!$V$11</f>
        <v>3170.7524137931036</v>
      </c>
      <c r="P13" s="145">
        <f>'[17]Laktatprofil+VO2max'!$X$11</f>
        <v>0.88482758620689661</v>
      </c>
      <c r="Q13" s="144">
        <f t="shared" si="2"/>
        <v>20.109346217538928</v>
      </c>
      <c r="T13" s="282"/>
      <c r="W13" s="26"/>
      <c r="X13" s="16" t="s">
        <v>13</v>
      </c>
      <c r="Y13" s="275">
        <f>STDEVA(Y5:Y11)</f>
        <v>39.1699593347467</v>
      </c>
      <c r="Z13" s="275">
        <f>STDEVA(Z5:Z11)</f>
        <v>503.56431763841391</v>
      </c>
      <c r="AA13" s="275">
        <f t="shared" ref="AA13:AE13" si="7">STDEVA(AA5:AA11)</f>
        <v>482.23692798708908</v>
      </c>
      <c r="AB13" s="124">
        <f t="shared" si="7"/>
        <v>3.4300105442555039E-2</v>
      </c>
      <c r="AC13" s="124">
        <f t="shared" si="7"/>
        <v>0.32636283475110328</v>
      </c>
      <c r="AD13" s="124">
        <f t="shared" si="7"/>
        <v>1.0129451030635674</v>
      </c>
      <c r="AE13" s="124">
        <f t="shared" si="7"/>
        <v>7.2763123102091214</v>
      </c>
    </row>
    <row r="14" spans="1:39">
      <c r="B14" s="278"/>
      <c r="C14" s="16" t="s">
        <v>76</v>
      </c>
      <c r="D14" s="124">
        <f>AVERAGE(D5:D13)</f>
        <v>215.44444444444446</v>
      </c>
      <c r="E14" s="124">
        <f>AVERAGE(E5:E12)</f>
        <v>3111.9080347384302</v>
      </c>
      <c r="F14" s="124">
        <f t="shared" ref="F14:J14" si="8">AVERAGE(F5:F12)</f>
        <v>3245.7517635538707</v>
      </c>
      <c r="G14" s="124">
        <f t="shared" si="8"/>
        <v>0.84367374907381676</v>
      </c>
      <c r="H14" s="124">
        <f t="shared" si="8"/>
        <v>0.84202032351967759</v>
      </c>
      <c r="I14" s="124">
        <f t="shared" si="8"/>
        <v>19.428882672350944</v>
      </c>
      <c r="J14" s="124">
        <f t="shared" si="8"/>
        <v>18.976378711375553</v>
      </c>
      <c r="K14" s="7"/>
      <c r="L14" s="278"/>
      <c r="M14" s="16" t="s">
        <v>76</v>
      </c>
      <c r="N14" s="124">
        <f>AVERAGE(N5:N13)</f>
        <v>225</v>
      </c>
      <c r="O14" s="124">
        <f t="shared" ref="O14:Q14" si="9">AVERAGE(O5:O13)</f>
        <v>3287.8863548460813</v>
      </c>
      <c r="P14" s="124">
        <f t="shared" si="9"/>
        <v>0.91166887709991151</v>
      </c>
      <c r="Q14" s="124">
        <f t="shared" si="9"/>
        <v>19.285546116102374</v>
      </c>
      <c r="T14" s="282"/>
      <c r="W14" s="26"/>
      <c r="X14" s="16" t="s">
        <v>14</v>
      </c>
      <c r="Y14" s="275">
        <f>Y13/SQRT(COUNT(Y5:Y11))</f>
        <v>14.804853037750396</v>
      </c>
      <c r="Z14" s="275">
        <f t="shared" ref="Z14:AE14" si="10">Z13/SQRT(COUNT(Z5:Z11))</f>
        <v>190.32942194245422</v>
      </c>
      <c r="AA14" s="275">
        <f t="shared" si="10"/>
        <v>182.26842635222877</v>
      </c>
      <c r="AB14" s="124">
        <f t="shared" si="10"/>
        <v>1.2964221277756241E-2</v>
      </c>
      <c r="AC14" s="124">
        <f t="shared" si="10"/>
        <v>0.13323706935807816</v>
      </c>
      <c r="AD14" s="124">
        <f t="shared" si="10"/>
        <v>0.38285726206669862</v>
      </c>
      <c r="AE14" s="124">
        <f t="shared" si="10"/>
        <v>2.9705420615240357</v>
      </c>
    </row>
    <row r="15" spans="1:39">
      <c r="B15" s="278"/>
      <c r="C15" s="16" t="s">
        <v>13</v>
      </c>
      <c r="D15" s="124">
        <f>STDEVA(D5:D13)</f>
        <v>27.582200379552408</v>
      </c>
      <c r="E15" s="124">
        <f>STDEVA(E5:E12)</f>
        <v>395.62768922706488</v>
      </c>
      <c r="F15" s="124">
        <f t="shared" ref="F15:J15" si="11">STDEVA(F5:F12)</f>
        <v>443.69983308688938</v>
      </c>
      <c r="G15" s="124">
        <f t="shared" si="11"/>
        <v>3.2286927517611717E-2</v>
      </c>
      <c r="H15" s="124">
        <f t="shared" si="11"/>
        <v>8.6893981927606528E-2</v>
      </c>
      <c r="I15" s="124">
        <f t="shared" si="11"/>
        <v>0.55578986399508701</v>
      </c>
      <c r="J15" s="124">
        <f t="shared" si="11"/>
        <v>0.30300678365821854</v>
      </c>
      <c r="K15" s="7"/>
      <c r="L15" s="278"/>
      <c r="M15" s="16" t="s">
        <v>13</v>
      </c>
      <c r="N15" s="124">
        <f>STDEVA(N5:N13)</f>
        <v>0</v>
      </c>
      <c r="O15" s="124">
        <f t="shared" ref="O15:Q15" si="12">STDEVA(O5:O13)</f>
        <v>80.008951654848005</v>
      </c>
      <c r="P15" s="124">
        <f t="shared" si="12"/>
        <v>3.3114000541922393E-2</v>
      </c>
      <c r="Q15" s="124">
        <f t="shared" si="12"/>
        <v>0.48261223323663399</v>
      </c>
      <c r="T15" s="282"/>
      <c r="W15" s="278"/>
      <c r="X15" s="18"/>
      <c r="Y15" s="18"/>
      <c r="Z15" s="18"/>
      <c r="AA15" s="18"/>
    </row>
    <row r="16" spans="1:39">
      <c r="B16" s="278"/>
      <c r="C16" s="16" t="s">
        <v>14</v>
      </c>
      <c r="D16" s="124">
        <f>D15/SQRT(COUNT(D5:D13))</f>
        <v>9.1940667931841364</v>
      </c>
      <c r="E16" s="124">
        <f>E15/SQRT(COUNT(E5:E12))</f>
        <v>139.87551093881078</v>
      </c>
      <c r="F16" s="124">
        <f t="shared" ref="F16:J16" si="13">F15/SQRT(COUNT(F5:F12))</f>
        <v>156.87158039353938</v>
      </c>
      <c r="G16" s="124">
        <f t="shared" si="13"/>
        <v>1.1415152695690893E-2</v>
      </c>
      <c r="H16" s="124">
        <f t="shared" si="13"/>
        <v>3.0721661932655939E-2</v>
      </c>
      <c r="I16" s="124">
        <f t="shared" si="13"/>
        <v>0.19650139087283749</v>
      </c>
      <c r="J16" s="124">
        <f t="shared" si="13"/>
        <v>0.10712907573512573</v>
      </c>
      <c r="K16" s="7"/>
      <c r="L16" s="278"/>
      <c r="M16" s="16" t="s">
        <v>14</v>
      </c>
      <c r="N16" s="124">
        <f>N15/SQRT(COUNT(N5:N13))</f>
        <v>0</v>
      </c>
      <c r="O16" s="124">
        <f t="shared" ref="O16:Q16" si="14">O15/SQRT(COUNT(O5:O13))</f>
        <v>26.669650551616002</v>
      </c>
      <c r="P16" s="124">
        <f t="shared" si="14"/>
        <v>1.1038000180640798E-2</v>
      </c>
      <c r="Q16" s="124">
        <f t="shared" si="14"/>
        <v>0.16087074441221133</v>
      </c>
      <c r="T16" s="282"/>
      <c r="W16" s="18" t="s">
        <v>173</v>
      </c>
      <c r="X16" s="18"/>
      <c r="Y16" s="18"/>
      <c r="Z16" s="18"/>
      <c r="AA16" s="18"/>
    </row>
    <row r="17" spans="1:39">
      <c r="G17" s="7"/>
      <c r="H17" s="51"/>
      <c r="I17" s="7"/>
      <c r="J17" s="7"/>
      <c r="K17" s="7"/>
      <c r="L17" s="7"/>
      <c r="T17" s="282"/>
      <c r="W17" s="18" t="s">
        <v>172</v>
      </c>
      <c r="X17" s="18"/>
      <c r="Y17" s="18"/>
      <c r="Z17" s="18"/>
      <c r="AA17" s="18"/>
    </row>
    <row r="18" spans="1:39">
      <c r="B18" t="s">
        <v>117</v>
      </c>
      <c r="G18" s="7"/>
      <c r="H18" s="51"/>
      <c r="I18" s="7"/>
      <c r="J18" s="7"/>
      <c r="K18" s="7"/>
      <c r="L18" s="7"/>
      <c r="T18" s="282"/>
      <c r="W18" s="18"/>
      <c r="X18" s="18"/>
      <c r="Y18" s="18"/>
      <c r="Z18" s="18"/>
      <c r="AA18" s="18"/>
    </row>
    <row r="19" spans="1:39">
      <c r="B19" t="s">
        <v>171</v>
      </c>
      <c r="G19" s="7"/>
      <c r="H19" s="52"/>
      <c r="I19" s="7"/>
      <c r="J19" s="7"/>
      <c r="K19" s="7"/>
      <c r="L19" s="7"/>
      <c r="T19" s="282"/>
      <c r="W19" s="18"/>
      <c r="X19" s="18"/>
      <c r="Y19" s="18"/>
      <c r="Z19" s="18"/>
      <c r="AA19" s="18"/>
    </row>
    <row r="20" spans="1:39" ht="16" thickBot="1">
      <c r="G20" s="7"/>
      <c r="H20" s="51"/>
      <c r="I20" s="7"/>
      <c r="J20" s="7"/>
      <c r="K20" s="7"/>
      <c r="L20" s="7"/>
      <c r="P20" s="142"/>
      <c r="T20" s="282"/>
      <c r="W20" s="18"/>
      <c r="X20" s="18"/>
      <c r="Y20" s="18"/>
      <c r="Z20" s="18"/>
      <c r="AA20" s="18"/>
    </row>
    <row r="21" spans="1:39" ht="16" thickBot="1">
      <c r="B21" s="1331" t="s">
        <v>50</v>
      </c>
      <c r="C21" s="1332"/>
      <c r="G21" s="7"/>
      <c r="H21" s="51"/>
      <c r="I21" s="7"/>
      <c r="J21" s="7"/>
      <c r="K21" s="7"/>
      <c r="L21" s="1331" t="s">
        <v>50</v>
      </c>
      <c r="M21" s="1332"/>
      <c r="N21" s="298"/>
      <c r="O21" s="298"/>
      <c r="P21" s="298"/>
      <c r="Q21" s="299"/>
      <c r="T21" s="282"/>
      <c r="W21" s="1333" t="s">
        <v>50</v>
      </c>
      <c r="X21" s="1334"/>
      <c r="Y21" s="18"/>
      <c r="Z21" s="18"/>
      <c r="AA21" s="18"/>
    </row>
    <row r="22" spans="1:39" ht="16" thickBot="1">
      <c r="B22" s="1335" t="s">
        <v>77</v>
      </c>
      <c r="C22" s="1337"/>
      <c r="D22" s="1339" t="s">
        <v>102</v>
      </c>
      <c r="E22" s="1341" t="s">
        <v>103</v>
      </c>
      <c r="F22" s="1341"/>
      <c r="G22" s="1342" t="s">
        <v>108</v>
      </c>
      <c r="H22" s="1343"/>
      <c r="I22" s="1345" t="s">
        <v>109</v>
      </c>
      <c r="J22" s="1346"/>
      <c r="K22" s="7"/>
      <c r="L22" s="1335" t="s">
        <v>77</v>
      </c>
      <c r="M22" s="1337"/>
      <c r="N22" s="1328" t="s">
        <v>106</v>
      </c>
      <c r="O22" s="135" t="s">
        <v>107</v>
      </c>
      <c r="P22" s="1350" t="s">
        <v>108</v>
      </c>
      <c r="Q22" s="281" t="s">
        <v>109</v>
      </c>
      <c r="T22" s="282"/>
      <c r="W22" s="1344" t="s">
        <v>77</v>
      </c>
      <c r="X22" s="1337"/>
      <c r="Y22" s="1347" t="s">
        <v>102</v>
      </c>
      <c r="Z22" s="1349" t="s">
        <v>103</v>
      </c>
      <c r="AA22" s="1349"/>
      <c r="AB22" s="1342" t="s">
        <v>108</v>
      </c>
      <c r="AC22" s="1343"/>
      <c r="AD22" s="1345" t="s">
        <v>109</v>
      </c>
      <c r="AE22" s="1346"/>
      <c r="AF22" s="7"/>
      <c r="AG22" s="1331" t="s">
        <v>50</v>
      </c>
      <c r="AH22" s="1332"/>
    </row>
    <row r="23" spans="1:39" ht="16" thickBot="1">
      <c r="B23" s="1336"/>
      <c r="C23" s="1338"/>
      <c r="D23" s="1340"/>
      <c r="E23" s="149" t="s">
        <v>104</v>
      </c>
      <c r="F23" s="149" t="s">
        <v>105</v>
      </c>
      <c r="G23" s="150" t="s">
        <v>113</v>
      </c>
      <c r="H23" s="7" t="s">
        <v>114</v>
      </c>
      <c r="I23" s="161" t="s">
        <v>113</v>
      </c>
      <c r="J23" s="162" t="s">
        <v>114</v>
      </c>
      <c r="K23" s="7"/>
      <c r="L23" s="1336"/>
      <c r="M23" s="1338"/>
      <c r="N23" s="1328"/>
      <c r="O23" s="279" t="s">
        <v>42</v>
      </c>
      <c r="P23" s="1351"/>
      <c r="Q23" s="149" t="s">
        <v>36</v>
      </c>
      <c r="T23" s="282"/>
      <c r="W23" s="1336"/>
      <c r="X23" s="1338"/>
      <c r="Y23" s="1348"/>
      <c r="Z23" s="139" t="s">
        <v>104</v>
      </c>
      <c r="AA23" s="139" t="s">
        <v>105</v>
      </c>
      <c r="AB23" s="150" t="s">
        <v>113</v>
      </c>
      <c r="AC23" s="7" t="s">
        <v>114</v>
      </c>
      <c r="AD23" s="161" t="s">
        <v>113</v>
      </c>
      <c r="AE23" s="162" t="s">
        <v>114</v>
      </c>
      <c r="AF23" s="137"/>
      <c r="AG23" s="1335" t="s">
        <v>77</v>
      </c>
      <c r="AH23" s="1337"/>
      <c r="AI23" s="1328" t="s">
        <v>106</v>
      </c>
      <c r="AJ23" s="138" t="s">
        <v>107</v>
      </c>
      <c r="AK23" s="1329" t="s">
        <v>108</v>
      </c>
      <c r="AL23" s="281" t="s">
        <v>109</v>
      </c>
    </row>
    <row r="24" spans="1:39" ht="16" thickBot="1">
      <c r="B24" s="32" t="s">
        <v>60</v>
      </c>
      <c r="C24" s="121" t="s">
        <v>57</v>
      </c>
      <c r="D24" s="147">
        <f>'[1]Lode 60+20min'!$C$20</f>
        <v>239</v>
      </c>
      <c r="E24" s="164">
        <f>'[18]VO2 60+20min'!$K$4</f>
        <v>3583.622950819672</v>
      </c>
      <c r="F24" s="164">
        <f>'[18]VO2 60+20min'!$L$4</f>
        <v>3589.7301587301586</v>
      </c>
      <c r="G24" s="165">
        <f>'[18]VO2 60+20min'!$Q$4</f>
        <v>0.82491803278688547</v>
      </c>
      <c r="H24" s="165">
        <f>'[18]VO2 60+20min'!$R$4</f>
        <v>0.87380952380952404</v>
      </c>
      <c r="I24" s="166">
        <f>D24/((E24/60000)*(4840*G24+16890))*100</f>
        <v>19.162060369323143</v>
      </c>
      <c r="J24" s="166">
        <f>D24/((F24/60000)*(4840*H24+16890))*100</f>
        <v>18.91512001505793</v>
      </c>
      <c r="K24" s="7"/>
      <c r="L24" s="32" t="s">
        <v>60</v>
      </c>
      <c r="M24" s="133" t="s">
        <v>57</v>
      </c>
      <c r="N24" s="147">
        <v>225</v>
      </c>
      <c r="O24" s="168">
        <f>'[1]Laktatprofil+VO2max'!$V$11</f>
        <v>3381.9583333333335</v>
      </c>
      <c r="P24" s="165">
        <f>'[1]Laktatprofil+VO2max'!$X$11</f>
        <v>0.85666666666666635</v>
      </c>
      <c r="Q24" s="152">
        <f>N24/((O24/60000)*(4840*P24+16890))*100</f>
        <v>18.975658169696263</v>
      </c>
      <c r="T24" s="282"/>
      <c r="W24" s="89" t="s">
        <v>61</v>
      </c>
      <c r="X24" s="121" t="s">
        <v>58</v>
      </c>
      <c r="Y24" s="147">
        <f>Y5</f>
        <v>221</v>
      </c>
      <c r="Z24" s="129">
        <f>'[19]VO2 60+20min'!$K$4</f>
        <v>3475.2711864406779</v>
      </c>
      <c r="AA24" s="130">
        <f>'[19]VO2 60+20min'!$L$4</f>
        <v>3494.5535714285716</v>
      </c>
      <c r="AB24" s="169">
        <f>'[19]VO2 60+20min'!$Q$4</f>
        <v>0.83288135593220369</v>
      </c>
      <c r="AC24" s="169">
        <f>'[19]VO2 60+20min'!$R$4</f>
        <v>0.87821428571428561</v>
      </c>
      <c r="AD24" s="171">
        <f>Y24/((Z24/60000)*(4840*AB24+16890))*100</f>
        <v>18.237670251367945</v>
      </c>
      <c r="AE24" s="171">
        <f>Y24/((AA24/60000)*(4840*AC24+16890))*100</f>
        <v>17.948798947769053</v>
      </c>
      <c r="AF24" s="137"/>
      <c r="AG24" s="1336"/>
      <c r="AH24" s="1338"/>
      <c r="AI24" s="1328"/>
      <c r="AJ24" s="139" t="s">
        <v>42</v>
      </c>
      <c r="AK24" s="1330"/>
      <c r="AL24" s="281" t="s">
        <v>36</v>
      </c>
      <c r="AM24" s="7"/>
    </row>
    <row r="25" spans="1:39" ht="16" thickBot="1">
      <c r="B25" s="32" t="s">
        <v>60</v>
      </c>
      <c r="C25" s="122" t="s">
        <v>59</v>
      </c>
      <c r="D25" s="148">
        <f>'[3]Lode 60+20min'!$C$28</f>
        <v>222</v>
      </c>
      <c r="E25" s="167">
        <f>'[20]VO2 60+20min'!$K$4</f>
        <v>3390.2372881355932</v>
      </c>
      <c r="F25" s="167">
        <f>'[20]VO2 60+20min'!$L$4</f>
        <v>3467.3653846153848</v>
      </c>
      <c r="G25" s="165">
        <f>'[20]VO2 60+20min'!$Q$4</f>
        <v>0.85220338983050847</v>
      </c>
      <c r="H25" s="165">
        <f>'[20]VO2 60+20min'!$R$4</f>
        <v>0.87961538461538524</v>
      </c>
      <c r="I25" s="166">
        <f t="shared" ref="I25:I32" si="15">D25/((E25/60000)*(4840*G25+16890))*100</f>
        <v>18.696127868256781</v>
      </c>
      <c r="J25" s="166">
        <f t="shared" ref="J25:J32" si="16">D25/((F25/60000)*(4840*H25+16890))*100</f>
        <v>18.165564549561957</v>
      </c>
      <c r="K25" s="7"/>
      <c r="L25" s="32" t="s">
        <v>60</v>
      </c>
      <c r="M25" s="134" t="s">
        <v>59</v>
      </c>
      <c r="N25" s="147">
        <v>225</v>
      </c>
      <c r="O25" s="167">
        <f>'[3]Laktatprofil+VO2max'!$V$11</f>
        <v>3423.8333333333335</v>
      </c>
      <c r="P25" s="165">
        <f>'[3]Laktatprofil+VO2max'!$X$11</f>
        <v>0.90708333333333357</v>
      </c>
      <c r="Q25" s="152">
        <f t="shared" ref="Q25:Q32" si="17">N25/((O25/60000)*(4840*P25+16890))*100</f>
        <v>18.528648677346972</v>
      </c>
      <c r="T25" s="282"/>
      <c r="W25" s="32" t="s">
        <v>61</v>
      </c>
      <c r="X25" s="121" t="s">
        <v>63</v>
      </c>
      <c r="Y25" s="147">
        <f>'[4]Lode 60+20min'!$C$13</f>
        <v>197</v>
      </c>
      <c r="Z25" s="131">
        <f>'[21]VO2 60+20min'!$K$4</f>
        <v>3043.4791666666665</v>
      </c>
      <c r="AA25" s="126">
        <f>'[21]VO2 60+20min'!$L$4</f>
        <v>3103.6346153846152</v>
      </c>
      <c r="AB25" s="169">
        <f>'[21]VO2 60+20min'!$Q$4</f>
        <v>0.85416666666666696</v>
      </c>
      <c r="AC25" s="169">
        <f>'[21]VO2 60+20min'!$R$4</f>
        <v>0.88639999999999997</v>
      </c>
      <c r="AD25" s="171">
        <f t="shared" ref="AD25:AD30" si="18">Y25/((Z25/60000)*(4840*AB25+16890))*100</f>
        <v>18.472613880125014</v>
      </c>
      <c r="AE25" s="171">
        <f t="shared" ref="AE25:AE30" si="19">Y25/((AA25/60000)*(4840*AC25+16890))*100</f>
        <v>17.981144243716614</v>
      </c>
      <c r="AF25" s="143"/>
      <c r="AG25" s="89" t="s">
        <v>60</v>
      </c>
      <c r="AH25" s="121" t="s">
        <v>58</v>
      </c>
      <c r="AI25" s="123">
        <v>225</v>
      </c>
      <c r="AJ25" s="140">
        <f>'[19]Laktatprofil+VO2max'!$V$11</f>
        <v>3317.0384615384614</v>
      </c>
      <c r="AK25" s="141">
        <f>'[19]Laktatprofil+VO2max'!$X$11</f>
        <v>0.88730769230769246</v>
      </c>
      <c r="AL25" s="174">
        <f>AI25/((AJ25/60000)*(4840*AK25+16890))*100</f>
        <v>19.211603896300687</v>
      </c>
      <c r="AM25" s="143"/>
    </row>
    <row r="26" spans="1:39" ht="16" thickBot="1">
      <c r="B26" s="32" t="s">
        <v>60</v>
      </c>
      <c r="C26" s="121" t="s">
        <v>62</v>
      </c>
      <c r="D26" s="147">
        <f>'[5]Lode 60+20min'!$C$32</f>
        <v>186</v>
      </c>
      <c r="E26" s="164">
        <f>'[22]VO2 60+20min 20.10.18'!$K$4</f>
        <v>2473.6666666666665</v>
      </c>
      <c r="F26" s="164">
        <f>'[22]VO2 60+20min 20.10.18'!$L$4</f>
        <v>2575.1153846153848</v>
      </c>
      <c r="G26" s="165">
        <f>'[22]VO2 60+20min 20.10.18'!$Q$4</f>
        <v>0.8822916666666667</v>
      </c>
      <c r="H26" s="165">
        <f>'[22]VO2 60+20min 20.10.18'!$R$4</f>
        <v>0.89939999999999998</v>
      </c>
      <c r="I26" s="166">
        <f t="shared" si="15"/>
        <v>21.32069552431739</v>
      </c>
      <c r="J26" s="166">
        <f t="shared" si="16"/>
        <v>20.400917020126606</v>
      </c>
      <c r="K26" s="7" t="s">
        <v>112</v>
      </c>
      <c r="L26" s="32" t="s">
        <v>60</v>
      </c>
      <c r="M26" s="133" t="s">
        <v>62</v>
      </c>
      <c r="N26" s="147">
        <v>225</v>
      </c>
      <c r="O26" s="167">
        <f>'[22]Laktatprofil+VO2max 19.10.18'!$V$11</f>
        <v>3107.0434782608695</v>
      </c>
      <c r="P26" s="165">
        <f>'[22]Laktatprofil+VO2max 19.10.18'!$X$11</f>
        <v>0.8895833333333335</v>
      </c>
      <c r="Q26" s="152">
        <f t="shared" si="17"/>
        <v>20.499395970002968</v>
      </c>
      <c r="R26" t="s">
        <v>112</v>
      </c>
      <c r="T26" s="282"/>
      <c r="W26" s="32" t="s">
        <v>61</v>
      </c>
      <c r="X26" s="121" t="s">
        <v>65</v>
      </c>
      <c r="Y26" s="147">
        <f>'[6]Lode 60+20min'!$C$70</f>
        <v>285</v>
      </c>
      <c r="Z26" s="131">
        <f>'[23]VO2 60+20min'!$K$4</f>
        <v>4217.5573770491801</v>
      </c>
      <c r="AA26" s="126">
        <f>'[23]VO2 60+20min'!$L$4</f>
        <v>4431.1451612903229</v>
      </c>
      <c r="AB26" s="169">
        <f>'[23]VO2 60+20min'!$Q$4</f>
        <v>0.89285714285714302</v>
      </c>
      <c r="AC26" s="169">
        <f>'[23]VO2 60+20min'!$R$4</f>
        <v>0.87793650793650813</v>
      </c>
      <c r="AD26" s="171">
        <f t="shared" si="18"/>
        <v>19.114599019362245</v>
      </c>
      <c r="AE26" s="171">
        <f t="shared" si="19"/>
        <v>18.255398781896233</v>
      </c>
      <c r="AF26" s="143"/>
      <c r="AG26" s="32" t="s">
        <v>60</v>
      </c>
      <c r="AH26" s="121" t="s">
        <v>63</v>
      </c>
      <c r="AI26" s="123">
        <v>225</v>
      </c>
      <c r="AJ26" s="170">
        <f>'[21]Laktatprofil+VO2max'!$V$11</f>
        <v>3318.086956521739</v>
      </c>
      <c r="AK26" s="141">
        <f>'[21]Laktatprofil+VO2max'!$X$11</f>
        <v>0.90291666666666692</v>
      </c>
      <c r="AL26" s="174">
        <f t="shared" ref="AL26:AL31" si="20">AI26/((AJ26/60000)*(4840*AK26+16890))*100</f>
        <v>19.137286637208426</v>
      </c>
    </row>
    <row r="27" spans="1:39" ht="16" thickBot="1">
      <c r="B27" s="32" t="s">
        <v>60</v>
      </c>
      <c r="C27" s="121" t="s">
        <v>64</v>
      </c>
      <c r="D27" s="147">
        <f>'[7]Lode 60+20min'!$C$29</f>
        <v>166</v>
      </c>
      <c r="E27" s="164">
        <f>'[24]VO2 60+20min'!$K$4</f>
        <v>2559</v>
      </c>
      <c r="F27" s="164">
        <f>'[24]VO2 60+20min'!$L$4</f>
        <v>2525.6730769230771</v>
      </c>
      <c r="G27" s="165">
        <f>'[24]VO2 60+20min'!$Q$4</f>
        <v>0.83458333333333357</v>
      </c>
      <c r="H27" s="165">
        <f>'[24]VO2 60+20min'!$R$4</f>
        <v>0.88379999999999992</v>
      </c>
      <c r="I27" s="166">
        <f t="shared" si="15"/>
        <v>18.596560191460696</v>
      </c>
      <c r="J27" s="166">
        <f t="shared" si="16"/>
        <v>18.629909604431312</v>
      </c>
      <c r="K27" s="7"/>
      <c r="L27" s="32" t="s">
        <v>60</v>
      </c>
      <c r="M27" s="133" t="s">
        <v>64</v>
      </c>
      <c r="N27" s="147">
        <v>225</v>
      </c>
      <c r="O27" s="167">
        <f>'[24]Laktatprofil+VO2max'!$V$11</f>
        <v>3206.217391304348</v>
      </c>
      <c r="P27" s="165">
        <f>'[24]Laktatprofil+VO2max'!$X$11</f>
        <v>0.96250000000000024</v>
      </c>
      <c r="Q27" s="152">
        <f t="shared" si="17"/>
        <v>19.539963982484686</v>
      </c>
      <c r="T27" s="282"/>
      <c r="V27" s="286">
        <v>315</v>
      </c>
      <c r="W27" s="33" t="s">
        <v>61</v>
      </c>
      <c r="X27" s="121" t="s">
        <v>66</v>
      </c>
      <c r="Y27" s="147">
        <f>'[8]Lode 60+20min'!$C$6856</f>
        <v>264</v>
      </c>
      <c r="Z27" s="125">
        <f>'[25]VO2 60+20min'!$K$4</f>
        <v>4494.0357142857147</v>
      </c>
      <c r="AA27" s="126">
        <f>'[25]VO2 60+20min'!$L$4</f>
        <v>4122.3064516129034</v>
      </c>
      <c r="AB27" s="169">
        <f>'[25]VO2 60+20min'!$Q$4</f>
        <v>0.91104166666666642</v>
      </c>
      <c r="AC27" s="169">
        <f>'[25]VO2 60+20min'!$R$4</f>
        <v>0.8959999999999998</v>
      </c>
      <c r="AD27" s="171">
        <f>V27/((Z27/60000)*(4840*AB27+16890))*100</f>
        <v>19.744996701404023</v>
      </c>
      <c r="AE27" s="171">
        <f>Y27/((AA27/60000)*(4840*AC27+16890))*100</f>
        <v>18.102295450752479</v>
      </c>
      <c r="AF27" s="143"/>
      <c r="AG27" s="32" t="s">
        <v>60</v>
      </c>
      <c r="AH27" s="121" t="s">
        <v>65</v>
      </c>
      <c r="AI27" s="123">
        <v>225</v>
      </c>
      <c r="AJ27" s="170">
        <f>'[23]Laktatprofil+VO2max'!$V$11</f>
        <v>3252.608695652174</v>
      </c>
      <c r="AK27" s="141">
        <f>'[23]Laktatprofil+VO2max'!$X$11</f>
        <v>0.92000000000000015</v>
      </c>
      <c r="AL27" s="174">
        <f t="shared" si="20"/>
        <v>19.446907795980863</v>
      </c>
    </row>
    <row r="28" spans="1:39" ht="16" thickBot="1">
      <c r="A28" s="286">
        <v>225</v>
      </c>
      <c r="B28" s="33" t="s">
        <v>60</v>
      </c>
      <c r="C28" s="121" t="s">
        <v>67</v>
      </c>
      <c r="D28" s="147">
        <f>'[9]Lode 60+20min'!$C$10802</f>
        <v>258</v>
      </c>
      <c r="E28" s="167">
        <f>'[26]VO2 60+20min'!$K$4</f>
        <v>3330.0508474576272</v>
      </c>
      <c r="F28" s="167">
        <f>'[26]VO2 60+20min'!$L$4</f>
        <v>3838.8</v>
      </c>
      <c r="G28" s="165">
        <f>'[26]VO2 60+20min'!$Q$4</f>
        <v>0.90423728813559323</v>
      </c>
      <c r="H28" s="165">
        <f>'[26]VO2 60+20min'!$R$4</f>
        <v>0.89349999999999985</v>
      </c>
      <c r="I28" s="166">
        <f>A28/((E28/60000)*(4840*G28+16890))*100</f>
        <v>19.062800818666698</v>
      </c>
      <c r="J28" s="166">
        <f>D28/((F28/60000)*(4840*H28+16890))*100</f>
        <v>19.008237555114647</v>
      </c>
      <c r="K28" s="7"/>
      <c r="L28" s="33" t="s">
        <v>60</v>
      </c>
      <c r="M28" s="133" t="s">
        <v>67</v>
      </c>
      <c r="N28" s="147">
        <v>225</v>
      </c>
      <c r="O28" s="167">
        <f>'[26]Laktatprofil+VO2max'!$V$11</f>
        <v>3235.217391304348</v>
      </c>
      <c r="P28" s="165">
        <f>'[26]Laktatprofil+VO2max'!$X$11</f>
        <v>0.96565217391304348</v>
      </c>
      <c r="Q28" s="152">
        <f t="shared" si="17"/>
        <v>19.351109946109947</v>
      </c>
      <c r="T28" s="282"/>
      <c r="W28" s="32" t="s">
        <v>61</v>
      </c>
      <c r="X28" s="121" t="s">
        <v>69</v>
      </c>
      <c r="Y28" s="147">
        <f>'[10]Lode 60+20min'!$C$10651</f>
        <v>246</v>
      </c>
      <c r="Z28" s="131">
        <f>'[27]VO2 60+20min'!$K$11</f>
        <v>3374.1993103448276</v>
      </c>
      <c r="AA28" s="126">
        <f>'[27]VO2 60+20min'!$L$11</f>
        <v>3334.5926315789475</v>
      </c>
      <c r="AB28" s="169">
        <f>'[27]VO2 60+20min'!$Q$11</f>
        <v>0.84862068965517312</v>
      </c>
      <c r="AC28" s="169">
        <f>'[27]VO2 60+20min'!$R$11</f>
        <v>0.83491228070175472</v>
      </c>
      <c r="AD28" s="171">
        <f t="shared" si="18"/>
        <v>20.832993225399328</v>
      </c>
      <c r="AE28" s="171">
        <f t="shared" si="19"/>
        <v>21.147259920794497</v>
      </c>
      <c r="AF28" s="143" t="s">
        <v>112</v>
      </c>
      <c r="AG28" s="32" t="s">
        <v>60</v>
      </c>
      <c r="AH28" s="121" t="s">
        <v>66</v>
      </c>
      <c r="AI28" s="123">
        <v>225</v>
      </c>
      <c r="AJ28" s="170">
        <f>'[25]Laktatprofil+VO2max'!$V$11</f>
        <v>3376.7391304347825</v>
      </c>
      <c r="AK28" s="141">
        <f>'[25]Laktatprofil+VO2max'!$X$11</f>
        <v>0.94708333333333317</v>
      </c>
      <c r="AL28" s="174">
        <f t="shared" si="20"/>
        <v>18.617684598054961</v>
      </c>
    </row>
    <row r="29" spans="1:39" ht="16" thickBot="1">
      <c r="B29" s="32" t="s">
        <v>60</v>
      </c>
      <c r="C29" s="121" t="s">
        <v>68</v>
      </c>
      <c r="D29" s="147">
        <f>'[11]Lode 60+20min'!$C$35</f>
        <v>208</v>
      </c>
      <c r="E29" s="164">
        <f>'[28]VO2 60+20min'!$K$4</f>
        <v>3189.1186440677966</v>
      </c>
      <c r="F29" s="164">
        <f>'[28]VO2 60+20min'!$L$4</f>
        <v>3371.4193548387098</v>
      </c>
      <c r="G29" s="165">
        <f>'[28]VO2 60+20min'!$Q$4</f>
        <v>0.81491525423728794</v>
      </c>
      <c r="H29" s="165">
        <f>'[28]VO2 60+20min'!$R$4</f>
        <v>0.85064516129032286</v>
      </c>
      <c r="I29" s="166">
        <f t="shared" si="15"/>
        <v>18.783100919605001</v>
      </c>
      <c r="J29" s="166">
        <f t="shared" si="16"/>
        <v>17.621190244030572</v>
      </c>
      <c r="K29" s="7"/>
      <c r="L29" s="32" t="s">
        <v>60</v>
      </c>
      <c r="M29" s="133" t="s">
        <v>68</v>
      </c>
      <c r="N29" s="147">
        <v>225</v>
      </c>
      <c r="O29" s="167">
        <f>'[28]Laktatprofil+VO2max'!$V$11</f>
        <v>3283.4347826086955</v>
      </c>
      <c r="P29" s="165">
        <f>'[28]Laktatprofil+VO2max'!$X$11</f>
        <v>0.90125</v>
      </c>
      <c r="Q29" s="152">
        <f t="shared" si="17"/>
        <v>19.346595209574254</v>
      </c>
      <c r="T29" s="282"/>
      <c r="W29" s="32" t="s">
        <v>61</v>
      </c>
      <c r="X29" s="121" t="s">
        <v>70</v>
      </c>
      <c r="Y29" s="147">
        <f>'[13]Lode 60+20min'!$C$40</f>
        <v>176</v>
      </c>
      <c r="Z29" s="131">
        <f>'[29]VO2 60+20min'!$K$9</f>
        <v>2525.3742857142861</v>
      </c>
      <c r="AA29" s="126">
        <f>'[29]VO2 60+20min'!$L$9</f>
        <v>2518.7511475409838</v>
      </c>
      <c r="AB29" s="169">
        <f>'[29]VO2 60+20min'!$Q$9</f>
        <v>0.79553571428571401</v>
      </c>
      <c r="AC29" s="169">
        <f>'[29]VO2 60+20min'!$R$9</f>
        <v>0.84180327868852445</v>
      </c>
      <c r="AD29" s="171">
        <f t="shared" si="18"/>
        <v>20.16142319966837</v>
      </c>
      <c r="AE29" s="171">
        <f t="shared" si="19"/>
        <v>19.998513414634729</v>
      </c>
      <c r="AF29" s="143"/>
      <c r="AG29" s="33" t="s">
        <v>60</v>
      </c>
      <c r="AH29" s="121" t="s">
        <v>69</v>
      </c>
      <c r="AI29" s="123">
        <v>225</v>
      </c>
      <c r="AJ29" s="170">
        <f>'[27]Laktatprofil+VO2max'!$V$11</f>
        <v>3147.9590909090912</v>
      </c>
      <c r="AK29" s="141">
        <f>'[27]Laktatprofil+VO2max'!$X$11</f>
        <v>0.89727272727272733</v>
      </c>
      <c r="AL29" s="174">
        <f t="shared" si="20"/>
        <v>20.197490830313459</v>
      </c>
    </row>
    <row r="30" spans="1:39" ht="16" thickBot="1">
      <c r="B30" s="32" t="s">
        <v>60</v>
      </c>
      <c r="C30" s="121" t="s">
        <v>71</v>
      </c>
      <c r="D30" s="147">
        <f>'[14]Lode 60+20min'!$C$42</f>
        <v>232</v>
      </c>
      <c r="E30" s="167">
        <f>'[30]VO2 60+20min'!$K$10</f>
        <v>3131.0508474576272</v>
      </c>
      <c r="F30" s="167">
        <f>'[30]VO2 60+20min'!$L$10</f>
        <v>3150.1</v>
      </c>
      <c r="G30" s="165">
        <f>'[30]VO2 60+20min'!$Q$10</f>
        <v>0.84406779661016962</v>
      </c>
      <c r="H30" s="165">
        <f>'[30]VO2 60+20min'!$R$10</f>
        <v>0.88649999999999995</v>
      </c>
      <c r="I30" s="166">
        <f t="shared" si="15"/>
        <v>21.19537864181137</v>
      </c>
      <c r="J30" s="166">
        <f t="shared" si="16"/>
        <v>20.86293503731725</v>
      </c>
      <c r="K30" s="7"/>
      <c r="L30" s="32" t="s">
        <v>60</v>
      </c>
      <c r="M30" s="133" t="s">
        <v>71</v>
      </c>
      <c r="N30" s="147">
        <v>225</v>
      </c>
      <c r="O30" s="167">
        <f>'[30]CORRECTED Laktatprofil+VO2max'!$V$11</f>
        <v>3364.1990909090914</v>
      </c>
      <c r="P30" s="165">
        <f>'[30]CORRECTED Laktatprofil+VO2max'!$X$11</f>
        <v>0.93181818181818199</v>
      </c>
      <c r="Q30" s="152">
        <f t="shared" si="17"/>
        <v>18.751598952630889</v>
      </c>
      <c r="T30" s="282"/>
      <c r="W30" s="53" t="s">
        <v>61</v>
      </c>
      <c r="X30" s="121" t="s">
        <v>74</v>
      </c>
      <c r="Y30" s="147">
        <f>'[15]Lode 60+20min'!$C$17</f>
        <v>203</v>
      </c>
      <c r="Z30" s="132">
        <f>'[31]VO2 60+20min'!$K$10</f>
        <v>2999.6326315789474</v>
      </c>
      <c r="AA30" s="128">
        <f>'[31]VO2 60+20min'!$L$10</f>
        <v>3048.3328571428574</v>
      </c>
      <c r="AB30" s="169">
        <f>'[31]VO2 60+20min'!$Q$10</f>
        <v>0.90051724137931</v>
      </c>
      <c r="AC30" s="169">
        <f>'[31]VO2 60+20min'!$R$10</f>
        <v>0.91499999999999992</v>
      </c>
      <c r="AD30" s="171">
        <f t="shared" si="18"/>
        <v>19.109568081833604</v>
      </c>
      <c r="AE30" s="171">
        <f t="shared" si="19"/>
        <v>18.742443919022492</v>
      </c>
      <c r="AF30" s="143"/>
      <c r="AG30" s="32" t="s">
        <v>60</v>
      </c>
      <c r="AH30" s="121" t="s">
        <v>70</v>
      </c>
      <c r="AI30" s="123">
        <v>225</v>
      </c>
      <c r="AJ30" s="170">
        <f>'[29]CORRECTED Laktatprofil+VO2max'!$V$11</f>
        <v>3079.3</v>
      </c>
      <c r="AK30" s="141">
        <f>'[29]CORRECTED Laktatprofil+VO2max'!$X$11</f>
        <v>0.91347826086956518</v>
      </c>
      <c r="AL30" s="174">
        <f t="shared" si="20"/>
        <v>20.571840708520124</v>
      </c>
    </row>
    <row r="31" spans="1:39" ht="16" thickBot="1">
      <c r="B31" s="32" t="s">
        <v>60</v>
      </c>
      <c r="C31" s="121" t="s">
        <v>72</v>
      </c>
      <c r="D31" s="147">
        <f>'[16]Lode 60+20min'!$C$26</f>
        <v>210</v>
      </c>
      <c r="E31" s="164">
        <f>'[32]VO2 60+20min'!$K$10</f>
        <v>3067.9689655172415</v>
      </c>
      <c r="F31" s="164">
        <f>'[32]VO2 60+20min'!$L$10</f>
        <v>3077.7534426229508</v>
      </c>
      <c r="G31" s="165">
        <f>'[32]VO2 60+20min'!$Q$10</f>
        <v>0.84362068965517234</v>
      </c>
      <c r="H31" s="165">
        <f>'[32]VO2 60+20min'!$R$10</f>
        <v>0.89032786885245885</v>
      </c>
      <c r="I31" s="166">
        <f t="shared" si="15"/>
        <v>19.581973368130143</v>
      </c>
      <c r="J31" s="166">
        <f t="shared" si="16"/>
        <v>19.311567030212508</v>
      </c>
      <c r="K31" s="7"/>
      <c r="L31" s="32" t="s">
        <v>60</v>
      </c>
      <c r="M31" s="133" t="s">
        <v>72</v>
      </c>
      <c r="N31" s="147">
        <v>225</v>
      </c>
      <c r="O31" s="167">
        <f>'[32]CORRECTED Laktatprofil+VO2max'!$V$11</f>
        <v>3173.8923809523812</v>
      </c>
      <c r="P31" s="165">
        <f>'[32]CORRECTED Laktatprofil+VO2max'!$X$11</f>
        <v>0.93809523809523809</v>
      </c>
      <c r="Q31" s="152">
        <f t="shared" si="17"/>
        <v>19.847768256812749</v>
      </c>
      <c r="T31" s="282"/>
      <c r="W31" s="26"/>
      <c r="X31" s="16" t="s">
        <v>76</v>
      </c>
      <c r="Y31" s="275">
        <f>AVERAGE(Y24:Y30)</f>
        <v>227.42857142857142</v>
      </c>
      <c r="Z31" s="275">
        <f t="shared" ref="Z31:AE31" si="21">AVERAGE(Z24:Z30)</f>
        <v>3447.0785245828997</v>
      </c>
      <c r="AA31" s="275">
        <f t="shared" si="21"/>
        <v>3436.1880622827434</v>
      </c>
      <c r="AB31" s="124">
        <f t="shared" si="21"/>
        <v>0.86223149677755384</v>
      </c>
      <c r="AC31" s="124">
        <f t="shared" si="21"/>
        <v>0.87575233614872461</v>
      </c>
      <c r="AD31" s="124">
        <f t="shared" si="21"/>
        <v>19.381980622737217</v>
      </c>
      <c r="AE31" s="124">
        <f t="shared" si="21"/>
        <v>18.882264954083727</v>
      </c>
      <c r="AF31" s="143"/>
      <c r="AG31" s="53" t="s">
        <v>60</v>
      </c>
      <c r="AH31" s="121" t="s">
        <v>74</v>
      </c>
      <c r="AI31" s="123">
        <v>225</v>
      </c>
      <c r="AJ31" s="170">
        <f>'[31]Laktatprofil+VO2max'!$V$11</f>
        <v>3344.8300000000004</v>
      </c>
      <c r="AK31" s="141">
        <f>'[31]Laktatprofil+VO2max'!$X$11</f>
        <v>0.93272727272727285</v>
      </c>
      <c r="AL31" s="174">
        <f t="shared" si="20"/>
        <v>18.856307869372969</v>
      </c>
    </row>
    <row r="32" spans="1:39" ht="16" thickBot="1">
      <c r="B32" s="53" t="s">
        <v>60</v>
      </c>
      <c r="C32" s="121" t="s">
        <v>73</v>
      </c>
      <c r="D32" s="147">
        <f>'[17]Lode 60+20min'!$C$17</f>
        <v>218</v>
      </c>
      <c r="E32" s="167">
        <f>'[33]VO2 60+20min'!$K$10</f>
        <v>3010.939393939394</v>
      </c>
      <c r="F32" s="167">
        <f>'[33]VO2 60+20min'!$L$10</f>
        <v>3053.4098360655739</v>
      </c>
      <c r="G32" s="165">
        <f>'[33]VO2 60+20min'!$Q$10</f>
        <v>0.82539682539682546</v>
      </c>
      <c r="H32" s="165">
        <f>'[33]VO2 60+20min'!$R$10</f>
        <v>0.8549180327868855</v>
      </c>
      <c r="I32" s="166">
        <f t="shared" si="15"/>
        <v>20.800458153900209</v>
      </c>
      <c r="J32" s="166">
        <f t="shared" si="16"/>
        <v>20.371768781255195</v>
      </c>
      <c r="K32" s="7"/>
      <c r="L32" s="53" t="s">
        <v>60</v>
      </c>
      <c r="M32" s="133" t="s">
        <v>73</v>
      </c>
      <c r="N32" s="147">
        <v>225</v>
      </c>
      <c r="O32" s="163">
        <f>'[33]CORRECTED Laktatprofil+VO2max'!$V$11</f>
        <v>3178.0245454545457</v>
      </c>
      <c r="P32" s="152">
        <f>'[33]CORRECTED Laktatprofil+VO2max'!$X$11</f>
        <v>0.88045454545454549</v>
      </c>
      <c r="Q32" s="152">
        <f t="shared" si="17"/>
        <v>20.083407620438305</v>
      </c>
      <c r="T32" s="282"/>
      <c r="W32" s="26"/>
      <c r="X32" s="16" t="s">
        <v>13</v>
      </c>
      <c r="Y32" s="275">
        <f>STDEVA(Y24:Y30)</f>
        <v>39.1699593347467</v>
      </c>
      <c r="Z32" s="275">
        <f t="shared" ref="Z32:AE32" si="22">STDEVA(Z24:Z30)</f>
        <v>696.24016426848709</v>
      </c>
      <c r="AA32" s="275">
        <f t="shared" si="22"/>
        <v>655.38032024277607</v>
      </c>
      <c r="AB32" s="124">
        <f t="shared" si="22"/>
        <v>4.1525523972588248E-2</v>
      </c>
      <c r="AC32" s="124">
        <f t="shared" si="22"/>
        <v>2.8562796863858174E-2</v>
      </c>
      <c r="AD32" s="124">
        <f t="shared" si="22"/>
        <v>0.92437768165446643</v>
      </c>
      <c r="AE32" s="124">
        <f t="shared" si="22"/>
        <v>1.2302068721906485</v>
      </c>
    </row>
    <row r="33" spans="2:38">
      <c r="B33" s="278"/>
      <c r="C33" s="16" t="s">
        <v>76</v>
      </c>
      <c r="D33" s="179">
        <f>AVERAGE(D24:D32)</f>
        <v>215.44444444444446</v>
      </c>
      <c r="E33" s="179">
        <f t="shared" ref="E33:J33" si="23">AVERAGE(E24:E32)</f>
        <v>3081.7395115624022</v>
      </c>
      <c r="F33" s="179">
        <f t="shared" si="23"/>
        <v>3183.2629598234707</v>
      </c>
      <c r="G33" s="179">
        <f t="shared" si="23"/>
        <v>0.84735936407249368</v>
      </c>
      <c r="H33" s="179">
        <f t="shared" si="23"/>
        <v>0.87916844126161953</v>
      </c>
      <c r="I33" s="179">
        <f t="shared" si="23"/>
        <v>19.688795095052381</v>
      </c>
      <c r="J33" s="179">
        <f t="shared" si="23"/>
        <v>19.254134426345328</v>
      </c>
      <c r="K33" s="7"/>
      <c r="L33" s="278"/>
      <c r="M33" s="16" t="s">
        <v>76</v>
      </c>
      <c r="N33" s="124">
        <f>AVERAGE(N24:N32)</f>
        <v>225</v>
      </c>
      <c r="O33" s="124">
        <f t="shared" ref="O33:Q33" si="24">AVERAGE(O24:O32)</f>
        <v>3261.5356363845494</v>
      </c>
      <c r="P33" s="124">
        <f t="shared" si="24"/>
        <v>0.91478927473492688</v>
      </c>
      <c r="Q33" s="124">
        <f t="shared" si="24"/>
        <v>19.436016309455223</v>
      </c>
      <c r="T33" s="282"/>
      <c r="W33" s="26"/>
      <c r="X33" s="16" t="s">
        <v>14</v>
      </c>
      <c r="Y33" s="275">
        <f>Y32/SQRT(COUNT(Y24:Y30))</f>
        <v>14.804853037750396</v>
      </c>
      <c r="Z33" s="275">
        <f t="shared" ref="Z33:AE33" si="25">Z32/SQRT(COUNT(Z24:Z30))</f>
        <v>263.1540467755965</v>
      </c>
      <c r="AA33" s="275">
        <f t="shared" si="25"/>
        <v>247.71047736117941</v>
      </c>
      <c r="AB33" s="124">
        <f t="shared" si="25"/>
        <v>1.569517278473135E-2</v>
      </c>
      <c r="AC33" s="124">
        <f t="shared" si="25"/>
        <v>1.0795722464317762E-2</v>
      </c>
      <c r="AD33" s="124">
        <f t="shared" si="25"/>
        <v>0.34938192330802159</v>
      </c>
      <c r="AE33" s="124">
        <f t="shared" si="25"/>
        <v>0.46497449213986819</v>
      </c>
    </row>
    <row r="34" spans="2:38">
      <c r="B34" s="278"/>
      <c r="C34" s="16" t="s">
        <v>13</v>
      </c>
      <c r="D34" s="179">
        <f>STDEVA(D24:D32)</f>
        <v>27.582200379552408</v>
      </c>
      <c r="E34" s="179">
        <f>STDEVA(E24:E32)</f>
        <v>365.870492195098</v>
      </c>
      <c r="F34" s="179">
        <f t="shared" ref="F34:J34" si="26">STDEVA(F24:F32)</f>
        <v>439.09327209410981</v>
      </c>
      <c r="G34" s="179">
        <f t="shared" si="26"/>
        <v>2.8951369522783713E-2</v>
      </c>
      <c r="H34" s="179">
        <f t="shared" si="26"/>
        <v>1.6751951472235387E-2</v>
      </c>
      <c r="I34" s="179">
        <f t="shared" si="26"/>
        <v>1.1095080094755838</v>
      </c>
      <c r="J34" s="179">
        <f t="shared" si="26"/>
        <v>1.0938634814475274</v>
      </c>
      <c r="L34" s="278"/>
      <c r="M34" s="16" t="s">
        <v>13</v>
      </c>
      <c r="N34" s="124">
        <f>STDEVA(N24:N32)</f>
        <v>0</v>
      </c>
      <c r="O34" s="124">
        <f t="shared" ref="O34:Q34" si="27">STDEVA(O24:O32)</f>
        <v>108.47669887537587</v>
      </c>
      <c r="P34" s="124">
        <f t="shared" si="27"/>
        <v>3.7302217764684828E-2</v>
      </c>
      <c r="Q34" s="124">
        <f t="shared" si="27"/>
        <v>0.63729061026808054</v>
      </c>
      <c r="T34" s="282"/>
      <c r="W34" s="18"/>
      <c r="X34" s="18"/>
      <c r="Y34" s="18"/>
      <c r="Z34" s="18"/>
      <c r="AA34" s="18"/>
    </row>
    <row r="35" spans="2:38">
      <c r="B35" s="278"/>
      <c r="C35" s="16" t="s">
        <v>14</v>
      </c>
      <c r="D35" s="179">
        <f>D34/SQRT(COUNT(D24:D32))</f>
        <v>9.1940667931841364</v>
      </c>
      <c r="E35" s="179">
        <f t="shared" ref="E35:J35" si="28">E34/SQRT(COUNT(E24:E32))</f>
        <v>121.95683073169933</v>
      </c>
      <c r="F35" s="179">
        <f t="shared" si="28"/>
        <v>146.36442403136994</v>
      </c>
      <c r="G35" s="179">
        <f t="shared" si="28"/>
        <v>9.6504565075945705E-3</v>
      </c>
      <c r="H35" s="179">
        <f t="shared" si="28"/>
        <v>5.5839838240784624E-3</v>
      </c>
      <c r="I35" s="179">
        <f t="shared" si="28"/>
        <v>0.36983600315852794</v>
      </c>
      <c r="J35" s="179">
        <f t="shared" si="28"/>
        <v>0.36462116048250914</v>
      </c>
      <c r="L35" s="278"/>
      <c r="M35" s="16" t="s">
        <v>14</v>
      </c>
      <c r="N35" s="124">
        <f>N34/SQRT(COUNT(N24:N32))</f>
        <v>0</v>
      </c>
      <c r="O35" s="124">
        <f t="shared" ref="O35:Q35" si="29">O34/SQRT(COUNT(O24:O32))</f>
        <v>36.158899625125294</v>
      </c>
      <c r="P35" s="124">
        <f t="shared" si="29"/>
        <v>1.2434072588228276E-2</v>
      </c>
      <c r="Q35" s="124">
        <f t="shared" si="29"/>
        <v>0.2124302034226935</v>
      </c>
      <c r="T35" s="282"/>
      <c r="W35" s="18" t="s">
        <v>174</v>
      </c>
      <c r="X35" s="18"/>
      <c r="Y35" s="18"/>
      <c r="Z35" s="18"/>
      <c r="AA35" s="18"/>
    </row>
    <row r="36" spans="2:38">
      <c r="T36" s="282"/>
      <c r="W36" s="18"/>
      <c r="X36" s="18"/>
      <c r="Y36" s="18"/>
      <c r="Z36" s="18"/>
      <c r="AA36" s="18"/>
    </row>
    <row r="37" spans="2:38" ht="16" thickBot="1">
      <c r="B37" t="s">
        <v>122</v>
      </c>
      <c r="T37" s="282"/>
      <c r="W37" s="18"/>
      <c r="X37" s="18"/>
      <c r="Y37" s="18"/>
      <c r="Z37" s="18"/>
      <c r="AA37" s="18"/>
    </row>
    <row r="38" spans="2:38" ht="16" thickBot="1">
      <c r="L38" s="142"/>
      <c r="M38" s="124"/>
      <c r="N38" s="124"/>
      <c r="O38" s="124"/>
      <c r="T38" s="7"/>
      <c r="W38" s="18"/>
      <c r="Y38" s="142" t="s">
        <v>80</v>
      </c>
      <c r="Z38" s="1341" t="s">
        <v>103</v>
      </c>
      <c r="AA38" s="1341"/>
      <c r="AB38" s="1342" t="s">
        <v>108</v>
      </c>
      <c r="AC38" s="1343"/>
      <c r="AD38" s="1345" t="s">
        <v>109</v>
      </c>
      <c r="AE38" s="1346"/>
      <c r="AI38" s="300" t="s">
        <v>80</v>
      </c>
      <c r="AJ38" s="295" t="s">
        <v>138</v>
      </c>
      <c r="AK38" s="1329" t="s">
        <v>108</v>
      </c>
      <c r="AL38" s="296" t="s">
        <v>109</v>
      </c>
    </row>
    <row r="39" spans="2:38" ht="16" thickBot="1">
      <c r="D39" s="142" t="s">
        <v>80</v>
      </c>
      <c r="E39" s="1341" t="s">
        <v>103</v>
      </c>
      <c r="F39" s="1341"/>
      <c r="G39" s="1342" t="s">
        <v>108</v>
      </c>
      <c r="H39" s="1343"/>
      <c r="I39" s="1345" t="s">
        <v>109</v>
      </c>
      <c r="J39" s="1346"/>
      <c r="N39" s="300" t="s">
        <v>80</v>
      </c>
      <c r="O39" s="295" t="s">
        <v>138</v>
      </c>
      <c r="P39" s="1329" t="s">
        <v>108</v>
      </c>
      <c r="Q39" s="296" t="s">
        <v>109</v>
      </c>
      <c r="T39" s="7"/>
      <c r="W39" s="18"/>
      <c r="Z39" s="284" t="s">
        <v>104</v>
      </c>
      <c r="AA39" s="284" t="s">
        <v>105</v>
      </c>
      <c r="AB39" s="13" t="s">
        <v>113</v>
      </c>
      <c r="AC39" s="156" t="s">
        <v>114</v>
      </c>
      <c r="AD39" s="157" t="s">
        <v>113</v>
      </c>
      <c r="AE39" s="158" t="s">
        <v>114</v>
      </c>
      <c r="AJ39" s="284" t="s">
        <v>175</v>
      </c>
      <c r="AK39" s="1330"/>
      <c r="AL39" s="297" t="s">
        <v>176</v>
      </c>
    </row>
    <row r="40" spans="2:38" ht="16" thickBot="1">
      <c r="E40" s="284" t="s">
        <v>104</v>
      </c>
      <c r="F40" s="284" t="s">
        <v>105</v>
      </c>
      <c r="G40" s="13" t="s">
        <v>113</v>
      </c>
      <c r="H40" s="156" t="s">
        <v>114</v>
      </c>
      <c r="I40" s="157" t="s">
        <v>113</v>
      </c>
      <c r="J40" s="158" t="s">
        <v>114</v>
      </c>
      <c r="O40" s="284" t="s">
        <v>175</v>
      </c>
      <c r="P40" s="1330"/>
      <c r="Q40" s="297" t="s">
        <v>176</v>
      </c>
      <c r="X40" s="142"/>
      <c r="Y40" s="124"/>
      <c r="Z40" s="124">
        <f>(Z24-Z5)/Z5*100</f>
        <v>2.3101503309196207</v>
      </c>
      <c r="AA40" s="124">
        <f t="shared" ref="AA40:AE40" si="30">(AA24-AA5)/AA5*100</f>
        <v>2.425065869767836</v>
      </c>
      <c r="AB40" s="124">
        <f t="shared" si="30"/>
        <v>2.4821970898379417</v>
      </c>
      <c r="AC40" s="124">
        <f t="shared" si="30"/>
        <v>1.7891638303743684</v>
      </c>
      <c r="AD40" s="124">
        <f t="shared" si="30"/>
        <v>-2.7141421212108616</v>
      </c>
      <c r="AE40" s="124">
        <f t="shared" si="30"/>
        <v>-2.7126906507183626</v>
      </c>
      <c r="AH40" s="142"/>
      <c r="AI40" s="124"/>
      <c r="AJ40" s="124">
        <f>(AJ25-AJ6)/AJ6*100</f>
        <v>1.4759825584416746</v>
      </c>
      <c r="AK40" s="124">
        <f t="shared" ref="AK40:AL40" si="31">(AK25-AK6)/AK6*100</f>
        <v>1.551667216903309</v>
      </c>
      <c r="AL40" s="124">
        <f t="shared" si="31"/>
        <v>-1.7597589533935352</v>
      </c>
    </row>
    <row r="41" spans="2:38">
      <c r="C41" s="142"/>
      <c r="D41" s="124"/>
      <c r="E41" s="124">
        <f t="shared" ref="E41:J48" si="32">(E24-E5)/E5*100</f>
        <v>-0.27439622224474153</v>
      </c>
      <c r="F41" s="124">
        <f t="shared" si="32"/>
        <v>1.1445426663586389</v>
      </c>
      <c r="G41" s="124">
        <f t="shared" si="32"/>
        <v>-2.5687362850134901</v>
      </c>
      <c r="H41" s="124">
        <f t="shared" si="32"/>
        <v>0.71149163772805402</v>
      </c>
      <c r="I41" s="124">
        <f t="shared" si="32"/>
        <v>0.78061034066789903</v>
      </c>
      <c r="J41" s="124">
        <f t="shared" si="32"/>
        <v>-1.2714635808137436</v>
      </c>
      <c r="M41" s="142"/>
      <c r="N41" s="124"/>
      <c r="O41" s="124">
        <f t="shared" ref="O41:Q49" si="33">(O24-O5)/O5*100</f>
        <v>0</v>
      </c>
      <c r="P41" s="124">
        <f t="shared" si="33"/>
        <v>0</v>
      </c>
      <c r="Q41" s="124">
        <f t="shared" si="33"/>
        <v>0</v>
      </c>
      <c r="Y41" s="124"/>
      <c r="Z41" s="124">
        <f>(Z25-Z6)/Z6*100</f>
        <v>2.4000616838283122</v>
      </c>
      <c r="AA41" s="124">
        <f t="shared" ref="AA41:AE41" si="34">(AA25-AA6)/AA6*100</f>
        <v>1.6905473012992567</v>
      </c>
      <c r="AB41" s="124">
        <f t="shared" si="34"/>
        <v>-2.7514231499051349</v>
      </c>
      <c r="AC41" s="124">
        <f t="shared" si="34"/>
        <v>0.45330915684495604</v>
      </c>
      <c r="AD41" s="124">
        <f t="shared" si="34"/>
        <v>-1.8005045734768232</v>
      </c>
      <c r="AE41" s="124">
        <f t="shared" si="34"/>
        <v>-1.7523295692204819</v>
      </c>
      <c r="AI41" s="124"/>
      <c r="AJ41" s="124">
        <f>(AJ26-AJ7)/AJ7*100</f>
        <v>5.6649733658838089E-2</v>
      </c>
      <c r="AK41" s="124">
        <f t="shared" ref="AK41:AL41" si="35">(AK26-AK7)/AK7*100</f>
        <v>-0.23020257826888796</v>
      </c>
      <c r="AL41" s="124">
        <f t="shared" si="35"/>
        <v>-9.216112002416222E-3</v>
      </c>
    </row>
    <row r="42" spans="2:38">
      <c r="D42" s="124"/>
      <c r="E42" s="124">
        <f t="shared" si="32"/>
        <v>0.23741124262173377</v>
      </c>
      <c r="F42" s="124">
        <f t="shared" si="32"/>
        <v>2.6764918594784923</v>
      </c>
      <c r="G42" s="124">
        <f t="shared" si="32"/>
        <v>2.2644067796610394</v>
      </c>
      <c r="H42" s="124">
        <f t="shared" si="32"/>
        <v>-2.8255789250052112</v>
      </c>
      <c r="I42" s="124">
        <f t="shared" si="32"/>
        <v>-0.67042596172008739</v>
      </c>
      <c r="J42" s="124">
        <f t="shared" si="32"/>
        <v>-2.0366022810167084</v>
      </c>
      <c r="N42" s="124"/>
      <c r="O42" s="124">
        <f t="shared" si="33"/>
        <v>0</v>
      </c>
      <c r="P42" s="124">
        <f t="shared" si="33"/>
        <v>0</v>
      </c>
      <c r="Q42" s="124">
        <f t="shared" si="33"/>
        <v>0</v>
      </c>
      <c r="Y42" s="124"/>
      <c r="Z42" s="124">
        <f t="shared" ref="Z42:AE46" si="36">(Z26-Z7)/Z7*100</f>
        <v>3.6072446796636153</v>
      </c>
      <c r="AA42" s="124">
        <f t="shared" si="36"/>
        <v>3.9450783945759493</v>
      </c>
      <c r="AB42" s="124">
        <f t="shared" si="36"/>
        <v>2.1056453076783854</v>
      </c>
      <c r="AC42" s="124">
        <f t="shared" si="36"/>
        <v>-0.70956160241874577</v>
      </c>
      <c r="AD42" s="124">
        <f t="shared" si="36"/>
        <v>-3.8871640501632139</v>
      </c>
      <c r="AE42" s="124">
        <f t="shared" si="36"/>
        <v>-3.6571519707511135</v>
      </c>
      <c r="AI42" s="124"/>
      <c r="AJ42" s="124">
        <f t="shared" ref="AJ42:AL46" si="37">(AJ27-AJ8)/AJ8*100</f>
        <v>3.7687431512074774</v>
      </c>
      <c r="AK42" s="124">
        <f t="shared" si="37"/>
        <v>1.3774104683195665</v>
      </c>
      <c r="AL42" s="124">
        <f t="shared" si="37"/>
        <v>-3.9050401780380488</v>
      </c>
    </row>
    <row r="43" spans="2:38">
      <c r="D43" s="124"/>
      <c r="E43" s="124">
        <f t="shared" si="32"/>
        <v>-6.6526203242189457</v>
      </c>
      <c r="F43" s="124">
        <f t="shared" si="32"/>
        <v>-6.0031728649847551</v>
      </c>
      <c r="G43" s="124">
        <f t="shared" si="32"/>
        <v>5.4794520547945282</v>
      </c>
      <c r="H43" s="124">
        <f t="shared" si="32"/>
        <v>6.3623462630084688</v>
      </c>
      <c r="I43" s="124">
        <f t="shared" si="32"/>
        <v>6.0036747739937182</v>
      </c>
      <c r="J43" s="124">
        <f t="shared" si="32"/>
        <v>5.0825125131563818</v>
      </c>
      <c r="N43" s="124"/>
      <c r="O43" s="124">
        <f t="shared" si="33"/>
        <v>-3.3716765646928706</v>
      </c>
      <c r="P43" s="124">
        <f t="shared" si="33"/>
        <v>1.328903654485055</v>
      </c>
      <c r="Q43" s="124">
        <f t="shared" si="33"/>
        <v>3.2136217947620871</v>
      </c>
      <c r="Y43" s="124"/>
      <c r="Z43" s="124">
        <f t="shared" si="36"/>
        <v>14.298142926264715</v>
      </c>
      <c r="AA43" s="124">
        <f t="shared" si="36"/>
        <v>38.067807238237869</v>
      </c>
      <c r="AB43" s="124">
        <f t="shared" si="36"/>
        <v>3.695799457994553</v>
      </c>
      <c r="AC43" s="124" t="s">
        <v>116</v>
      </c>
      <c r="AD43" s="124">
        <f t="shared" si="36"/>
        <v>3.6218092978421956</v>
      </c>
      <c r="AE43" s="124" t="s">
        <v>144</v>
      </c>
      <c r="AI43" s="124"/>
      <c r="AJ43" s="124">
        <f t="shared" si="37"/>
        <v>1.7649833591026922</v>
      </c>
      <c r="AK43" s="124">
        <f t="shared" si="37"/>
        <v>-1.2597741094700607</v>
      </c>
      <c r="AL43" s="124">
        <f t="shared" si="37"/>
        <v>-1.4667491499115117</v>
      </c>
    </row>
    <row r="44" spans="2:38">
      <c r="D44" s="124"/>
      <c r="E44" s="124">
        <f t="shared" si="32"/>
        <v>5.522147005257545</v>
      </c>
      <c r="F44" s="124">
        <f t="shared" si="32"/>
        <v>1.6524767801857612</v>
      </c>
      <c r="G44" s="124">
        <f t="shared" si="32"/>
        <v>-2.5066926259430033</v>
      </c>
      <c r="H44" s="124">
        <f t="shared" si="32"/>
        <v>-2.6866329002421758</v>
      </c>
      <c r="I44" s="124">
        <f t="shared" si="32"/>
        <v>-4.7629004684762979</v>
      </c>
      <c r="J44" s="124">
        <f t="shared" si="32"/>
        <v>-1.0767738735515906</v>
      </c>
      <c r="N44" s="124"/>
      <c r="O44" s="124">
        <f t="shared" si="33"/>
        <v>-1.6158216775927894</v>
      </c>
      <c r="P44" s="124">
        <f t="shared" si="33"/>
        <v>1.7621145374449749</v>
      </c>
      <c r="Q44" s="124">
        <f t="shared" si="33"/>
        <v>1.2618617777448236</v>
      </c>
      <c r="Y44" s="124"/>
      <c r="Z44" s="124">
        <f t="shared" si="36"/>
        <v>-1.0632682570885266</v>
      </c>
      <c r="AA44" s="124">
        <f t="shared" si="36"/>
        <v>4.1165695878740589</v>
      </c>
      <c r="AB44" s="124">
        <f t="shared" si="36"/>
        <v>-3.1070573181534042</v>
      </c>
      <c r="AC44" s="124">
        <f t="shared" si="36"/>
        <v>-4.9158156012018415</v>
      </c>
      <c r="AD44" s="124">
        <f t="shared" si="36"/>
        <v>-1.8810160015364878</v>
      </c>
      <c r="AE44" s="124">
        <f t="shared" si="36"/>
        <v>-2.995149237248</v>
      </c>
      <c r="AI44" s="124"/>
      <c r="AJ44" s="124">
        <f t="shared" si="37"/>
        <v>0.6134182023510103</v>
      </c>
      <c r="AK44" s="124">
        <f t="shared" si="37"/>
        <v>-2.9225797386539067</v>
      </c>
      <c r="AL44" s="124">
        <f t="shared" si="37"/>
        <v>2.3264335869053968E-3</v>
      </c>
    </row>
    <row r="45" spans="2:38">
      <c r="D45" s="124"/>
      <c r="E45" s="124">
        <f t="shared" si="32"/>
        <v>-1.7606838062691033</v>
      </c>
      <c r="F45" s="124">
        <f t="shared" si="32"/>
        <v>-0.53393645286664493</v>
      </c>
      <c r="G45" s="124">
        <f t="shared" si="32"/>
        <v>0.65721203735733125</v>
      </c>
      <c r="H45" s="124">
        <f t="shared" si="32"/>
        <v>-2.2501390691637315</v>
      </c>
      <c r="I45" s="124">
        <f t="shared" si="32"/>
        <v>1.6554644330591399</v>
      </c>
      <c r="J45" s="124">
        <f t="shared" si="32"/>
        <v>1.0085664027336294</v>
      </c>
      <c r="N45" s="124"/>
      <c r="O45" s="124">
        <f t="shared" si="33"/>
        <v>-0.92537114706077261</v>
      </c>
      <c r="P45" s="124">
        <f t="shared" si="33"/>
        <v>1.2479343552339177</v>
      </c>
      <c r="Q45" s="124">
        <f t="shared" si="33"/>
        <v>0.66437395892922224</v>
      </c>
      <c r="Y45" s="124"/>
      <c r="Z45" s="124">
        <f t="shared" si="36"/>
        <v>-4.5720739524050158</v>
      </c>
      <c r="AA45" s="124">
        <f t="shared" si="36"/>
        <v>-8.8511529587044038</v>
      </c>
      <c r="AB45" s="124">
        <f t="shared" si="36"/>
        <v>-0.29242126273150854</v>
      </c>
      <c r="AC45" s="124">
        <f t="shared" si="36"/>
        <v>5.8615973199595199</v>
      </c>
      <c r="AD45" s="124">
        <f t="shared" si="36"/>
        <v>4.8481828150864024</v>
      </c>
      <c r="AE45" s="124">
        <f t="shared" si="36"/>
        <v>8.5300619442448902</v>
      </c>
      <c r="AG45" s="7"/>
      <c r="AI45" s="124"/>
      <c r="AJ45" s="124">
        <f t="shared" si="37"/>
        <v>-2.207163034410085</v>
      </c>
      <c r="AK45" s="124">
        <f t="shared" si="37"/>
        <v>6.2721294891249499</v>
      </c>
      <c r="AL45" s="124">
        <f t="shared" si="37"/>
        <v>1.0049228052331531</v>
      </c>
    </row>
    <row r="46" spans="2:38" ht="16" thickBot="1">
      <c r="D46" s="124"/>
      <c r="E46" s="124">
        <f t="shared" si="32"/>
        <v>3.5536587054589917</v>
      </c>
      <c r="F46" s="124">
        <f t="shared" si="32"/>
        <v>5.0101730677450993</v>
      </c>
      <c r="G46" s="124">
        <f t="shared" si="32"/>
        <v>-3.5127474016037974</v>
      </c>
      <c r="H46" s="124">
        <f t="shared" si="32"/>
        <v>28.186431779735173</v>
      </c>
      <c r="I46" s="124">
        <f t="shared" si="32"/>
        <v>-2.7661390846516918</v>
      </c>
      <c r="J46" s="124">
        <f t="shared" si="32"/>
        <v>-8.8750039807944638</v>
      </c>
      <c r="L46" s="7"/>
      <c r="N46" s="124"/>
      <c r="O46" s="124">
        <f t="shared" si="33"/>
        <v>-0.19427483942589563</v>
      </c>
      <c r="P46" s="124">
        <f t="shared" si="33"/>
        <v>-3.8666666666666787</v>
      </c>
      <c r="Q46" s="124">
        <f t="shared" si="33"/>
        <v>1.021827408832916</v>
      </c>
      <c r="Y46" s="274"/>
      <c r="Z46" s="274">
        <f t="shared" si="36"/>
        <v>-6.1126360846884689</v>
      </c>
      <c r="AA46" s="274">
        <f t="shared" si="36"/>
        <v>-7.5237026028536604</v>
      </c>
      <c r="AB46" s="274">
        <f t="shared" si="36"/>
        <v>4.1356430789344509</v>
      </c>
      <c r="AC46" s="274">
        <f t="shared" si="36"/>
        <v>6.9846153846153625</v>
      </c>
      <c r="AD46" s="274">
        <f t="shared" si="36"/>
        <v>5.6429537677461354</v>
      </c>
      <c r="AE46" s="274">
        <f t="shared" si="36"/>
        <v>6.6692617831156999</v>
      </c>
      <c r="AI46" s="274"/>
      <c r="AJ46" s="274">
        <f t="shared" si="37"/>
        <v>-3.3636178031849684</v>
      </c>
      <c r="AK46" s="274">
        <f t="shared" si="37"/>
        <v>-0.24307243558579719</v>
      </c>
      <c r="AL46" s="274">
        <f t="shared" si="37"/>
        <v>3.5338751599294733</v>
      </c>
    </row>
    <row r="47" spans="2:38">
      <c r="D47" s="124"/>
      <c r="E47" s="124">
        <f t="shared" si="32"/>
        <v>-4.4435703871809711</v>
      </c>
      <c r="F47" s="124">
        <f t="shared" si="32"/>
        <v>-9.4929230564016276</v>
      </c>
      <c r="G47" s="124">
        <f t="shared" si="32"/>
        <v>-1.022422927296577</v>
      </c>
      <c r="H47" s="124">
        <f t="shared" si="32"/>
        <v>2.127478753541022</v>
      </c>
      <c r="I47" s="124">
        <f t="shared" si="32"/>
        <v>4.8607523239497334</v>
      </c>
      <c r="J47" s="124">
        <f t="shared" si="32"/>
        <v>10.022341271078346</v>
      </c>
      <c r="N47" s="124"/>
      <c r="O47" s="124">
        <f t="shared" si="33"/>
        <v>0.89389622934075241</v>
      </c>
      <c r="P47" s="124">
        <f t="shared" si="33"/>
        <v>0.44474596713404396</v>
      </c>
      <c r="Q47" s="124">
        <f t="shared" si="33"/>
        <v>-0.97846393955266908</v>
      </c>
      <c r="Y47" s="142" t="s">
        <v>76</v>
      </c>
      <c r="Z47" s="179">
        <f t="shared" ref="Z47:AE47" si="38">AVERAGE(Z40:Z46)</f>
        <v>1.5525173323563217</v>
      </c>
      <c r="AA47" s="179">
        <f t="shared" si="38"/>
        <v>4.8386018328852725</v>
      </c>
      <c r="AB47" s="179">
        <f t="shared" si="38"/>
        <v>0.89548331480789756</v>
      </c>
      <c r="AC47" s="179">
        <f t="shared" si="38"/>
        <v>1.57721808136227</v>
      </c>
      <c r="AD47" s="179">
        <f t="shared" si="38"/>
        <v>0.54715987632676388</v>
      </c>
      <c r="AE47" s="179">
        <f t="shared" si="38"/>
        <v>0.68033371657043851</v>
      </c>
      <c r="AI47" s="142" t="s">
        <v>76</v>
      </c>
      <c r="AJ47" s="179">
        <f>AVERAGE(AJ40:AJ46)</f>
        <v>0.30128516673809125</v>
      </c>
      <c r="AK47" s="179">
        <f>AVERAGE(AK40:AK46)</f>
        <v>0.6493683303384532</v>
      </c>
      <c r="AL47" s="179">
        <f>AVERAGE(AL40:AL46)</f>
        <v>-0.37137714208513994</v>
      </c>
    </row>
    <row r="48" spans="2:38">
      <c r="D48" s="124"/>
      <c r="E48" s="124">
        <f t="shared" si="32"/>
        <v>-0.98438476601942593</v>
      </c>
      <c r="F48" s="124">
        <f t="shared" si="32"/>
        <v>-5.7424501875312783</v>
      </c>
      <c r="G48" s="124">
        <f t="shared" si="32"/>
        <v>7.9922340847367099</v>
      </c>
      <c r="H48" s="124">
        <f t="shared" si="32"/>
        <v>16.560489048979953</v>
      </c>
      <c r="I48" s="124">
        <f t="shared" si="32"/>
        <v>-0.46095756210527983</v>
      </c>
      <c r="J48" s="124">
        <f t="shared" si="32"/>
        <v>3.0283466019645564</v>
      </c>
      <c r="N48" s="124"/>
      <c r="O48" s="124">
        <f t="shared" si="33"/>
        <v>-2.3551677617850602</v>
      </c>
      <c r="P48" s="124">
        <f t="shared" si="33"/>
        <v>2.6643215425704843</v>
      </c>
      <c r="Q48" s="124">
        <f t="shared" si="33"/>
        <v>1.8488806553588779</v>
      </c>
      <c r="Y48" s="142" t="s">
        <v>13</v>
      </c>
      <c r="Z48" s="179">
        <f t="shared" ref="Z48:AE48" si="39">STDEVA(Z40:Z46)</f>
        <v>6.7215170038993008</v>
      </c>
      <c r="AA48" s="179">
        <f t="shared" si="39"/>
        <v>15.607002525381578</v>
      </c>
      <c r="AB48" s="179">
        <f t="shared" si="39"/>
        <v>2.9736042669328029</v>
      </c>
      <c r="AC48" s="179">
        <f t="shared" si="39"/>
        <v>4.0502064574593799</v>
      </c>
      <c r="AD48" s="179">
        <f t="shared" si="39"/>
        <v>3.9922063372626777</v>
      </c>
      <c r="AE48" s="179">
        <f t="shared" si="39"/>
        <v>4.9604375925240731</v>
      </c>
      <c r="AI48" s="142" t="s">
        <v>13</v>
      </c>
      <c r="AJ48" s="179">
        <f>STDEVA(AJ40:AJ46)</f>
        <v>2.4299070941876324</v>
      </c>
      <c r="AK48" s="179">
        <f>STDEVA(AK40:AK46)</f>
        <v>2.9135706916410551</v>
      </c>
      <c r="AL48" s="179">
        <f>STDEVA(AL40:AL46)</f>
        <v>2.3462818246011041</v>
      </c>
    </row>
    <row r="49" spans="3:38" ht="16" thickBot="1">
      <c r="C49" s="269"/>
      <c r="D49" s="274"/>
      <c r="E49" s="274"/>
      <c r="F49" s="274"/>
      <c r="G49" s="274"/>
      <c r="H49" s="274"/>
      <c r="I49" s="274"/>
      <c r="J49" s="274"/>
      <c r="M49" s="269"/>
      <c r="N49" s="274"/>
      <c r="O49" s="274">
        <f t="shared" si="33"/>
        <v>0.22935034693366427</v>
      </c>
      <c r="P49" s="274">
        <f t="shared" si="33"/>
        <v>-0.49422518245589436</v>
      </c>
      <c r="Q49" s="274">
        <f t="shared" si="33"/>
        <v>-0.12898776926919739</v>
      </c>
      <c r="Y49" s="142" t="s">
        <v>14</v>
      </c>
      <c r="Z49" s="179">
        <f t="shared" ref="Z49:AE49" si="40">Z48/SQRT(COUNT(Z40:Z46))</f>
        <v>2.5404946322013591</v>
      </c>
      <c r="AA49" s="179">
        <f t="shared" si="40"/>
        <v>5.8988924847595259</v>
      </c>
      <c r="AB49" s="179">
        <f t="shared" si="40"/>
        <v>1.1239167696892463</v>
      </c>
      <c r="AC49" s="179">
        <f t="shared" si="40"/>
        <v>1.6534898622834908</v>
      </c>
      <c r="AD49" s="179">
        <f t="shared" si="40"/>
        <v>1.5089121644075851</v>
      </c>
      <c r="AE49" s="179">
        <f t="shared" si="40"/>
        <v>2.0250901671006334</v>
      </c>
      <c r="AI49" s="142" t="s">
        <v>14</v>
      </c>
      <c r="AJ49" s="179">
        <f>AJ48/SQRT(COUNT(AJ40:AJ46))</f>
        <v>0.91841855431601105</v>
      </c>
      <c r="AK49" s="179">
        <f>AK48/SQRT(COUNT(AK40:AK46))</f>
        <v>1.101226211041241</v>
      </c>
      <c r="AL49" s="179">
        <f>AL48/SQRT(COUNT(AL40:AL46))</f>
        <v>0.88681117336648441</v>
      </c>
    </row>
    <row r="50" spans="3:38">
      <c r="D50" s="142" t="s">
        <v>76</v>
      </c>
      <c r="E50" s="179">
        <f t="shared" ref="E50" si="41">AVERAGE(E41:E49)</f>
        <v>-0.60030481907436462</v>
      </c>
      <c r="F50" s="179">
        <f t="shared" ref="F50" si="42">AVERAGE(F41:F49)</f>
        <v>-1.4110997735020394</v>
      </c>
      <c r="G50" s="179">
        <f t="shared" ref="G50" si="43">AVERAGE(G41:G49)</f>
        <v>0.84783821458659259</v>
      </c>
      <c r="H50" s="179">
        <f t="shared" ref="H50" si="44">AVERAGE(H41:H49)</f>
        <v>5.7732358235726942</v>
      </c>
      <c r="I50" s="179">
        <f t="shared" ref="I50" si="45">AVERAGE(I41:I49)</f>
        <v>0.58000984933964161</v>
      </c>
      <c r="J50" s="179">
        <f t="shared" ref="J50" si="46">AVERAGE(J41:J49)</f>
        <v>0.73524038409455095</v>
      </c>
      <c r="N50" s="142" t="s">
        <v>76</v>
      </c>
      <c r="O50" s="179">
        <f t="shared" ref="O50" si="47">AVERAGE(O41:O49)</f>
        <v>-0.81545171269810801</v>
      </c>
      <c r="P50" s="179">
        <f t="shared" ref="P50" si="48">AVERAGE(P41:P49)</f>
        <v>0.34301424530510027</v>
      </c>
      <c r="Q50" s="179">
        <f t="shared" ref="Q50" si="49">AVERAGE(Q41:Q49)</f>
        <v>0.76701265408956232</v>
      </c>
      <c r="Y50" s="111" t="s">
        <v>100</v>
      </c>
      <c r="Z50" s="117">
        <f>SQRT((((7-1)*Z13+((9-1)*E15))/(9+7-2)))</f>
        <v>21.021090463163421</v>
      </c>
      <c r="AA50" s="117">
        <f t="shared" ref="AA50:AE50" si="50">SQRT((((7-1)*AA13+((9-1)*F15))/(9+7-2)))</f>
        <v>21.452639252578241</v>
      </c>
      <c r="AB50" s="117">
        <f t="shared" si="50"/>
        <v>0.18207064029346726</v>
      </c>
      <c r="AC50" s="117">
        <f t="shared" si="50"/>
        <v>0.43534295708157916</v>
      </c>
      <c r="AD50" s="117">
        <f t="shared" si="50"/>
        <v>0.86701415091195522</v>
      </c>
      <c r="AE50" s="117">
        <f t="shared" si="50"/>
        <v>1.8142674265491228</v>
      </c>
      <c r="AI50" s="111" t="s">
        <v>100</v>
      </c>
      <c r="AJ50" s="117"/>
      <c r="AK50" s="117"/>
    </row>
    <row r="51" spans="3:38">
      <c r="D51" s="142" t="s">
        <v>13</v>
      </c>
      <c r="E51" s="179">
        <f t="shared" ref="E51" si="51">STDEVA(E41:E49)</f>
        <v>3.9359700913190294</v>
      </c>
      <c r="F51" s="179">
        <f t="shared" ref="F51:J51" si="52">STDEVA(F41:F49)</f>
        <v>5.0679803612511325</v>
      </c>
      <c r="G51" s="179">
        <f t="shared" si="52"/>
        <v>4.1399738798274059</v>
      </c>
      <c r="H51" s="179">
        <f t="shared" si="52"/>
        <v>11.134627927703754</v>
      </c>
      <c r="I51" s="179">
        <f t="shared" si="52"/>
        <v>3.6120502031308748</v>
      </c>
      <c r="J51" s="179">
        <f t="shared" si="52"/>
        <v>5.5784307326617517</v>
      </c>
      <c r="N51" s="142" t="s">
        <v>13</v>
      </c>
      <c r="O51" s="179">
        <f t="shared" ref="O51" si="53">STDEVA(O41:O49)</f>
        <v>1.3823417992063223</v>
      </c>
      <c r="P51" s="179">
        <f t="shared" ref="P51:Q51" si="54">STDEVA(P41:P49)</f>
        <v>1.8661866756900161</v>
      </c>
      <c r="Q51" s="179">
        <f t="shared" si="54"/>
        <v>1.2501398769854377</v>
      </c>
      <c r="Y51" s="111" t="s">
        <v>101</v>
      </c>
      <c r="Z51" s="115"/>
      <c r="AA51" s="115"/>
      <c r="AB51" s="115"/>
      <c r="AC51" s="115"/>
      <c r="AI51" s="111" t="s">
        <v>101</v>
      </c>
      <c r="AJ51" s="115"/>
      <c r="AK51" s="115"/>
    </row>
    <row r="52" spans="3:38">
      <c r="D52" s="142" t="s">
        <v>14</v>
      </c>
      <c r="E52" s="179">
        <f t="shared" ref="E52" si="55">E51/SQRT(COUNT(E41:E49))</f>
        <v>1.3915755710595601</v>
      </c>
      <c r="F52" s="179">
        <f t="shared" ref="F52" si="56">F51/SQRT(COUNT(F41:F49))</f>
        <v>1.7918016401804622</v>
      </c>
      <c r="G52" s="179">
        <f t="shared" ref="G52" si="57">G51/SQRT(COUNT(G41:G49))</f>
        <v>1.4637018021805697</v>
      </c>
      <c r="H52" s="179">
        <f t="shared" ref="H52" si="58">H51/SQRT(COUNT(H41:H49))</f>
        <v>3.9366854568342196</v>
      </c>
      <c r="I52" s="179">
        <f t="shared" ref="I52" si="59">I51/SQRT(COUNT(I41:I49))</f>
        <v>1.2770525963100439</v>
      </c>
      <c r="J52" s="179">
        <f t="shared" ref="J52" si="60">J51/SQRT(COUNT(J41:J49))</f>
        <v>1.9722730997222826</v>
      </c>
      <c r="N52" s="142" t="s">
        <v>14</v>
      </c>
      <c r="O52" s="179">
        <f t="shared" ref="O52" si="61">O51/SQRT(COUNT(O41:O49))</f>
        <v>0.46078059973544078</v>
      </c>
      <c r="P52" s="179">
        <f t="shared" ref="P52" si="62">P51/SQRT(COUNT(P41:P49))</f>
        <v>0.62206222523000532</v>
      </c>
      <c r="Q52" s="179">
        <f t="shared" ref="Q52" si="63">Q51/SQRT(COUNT(Q41:Q49))</f>
        <v>0.41671329232847926</v>
      </c>
    </row>
    <row r="53" spans="3:38">
      <c r="D53" s="111" t="s">
        <v>100</v>
      </c>
      <c r="E53" s="117"/>
      <c r="F53" s="117"/>
      <c r="G53" s="117"/>
      <c r="H53" s="117"/>
      <c r="N53" s="111" t="s">
        <v>100</v>
      </c>
      <c r="O53" s="117"/>
      <c r="P53" s="117"/>
    </row>
    <row r="54" spans="3:38">
      <c r="D54" s="111" t="s">
        <v>101</v>
      </c>
      <c r="E54" s="115"/>
      <c r="F54" s="115"/>
      <c r="G54" s="115"/>
      <c r="H54" s="115"/>
      <c r="N54" s="111" t="s">
        <v>101</v>
      </c>
      <c r="O54" s="115"/>
      <c r="P54" s="115"/>
    </row>
    <row r="58" spans="3:38">
      <c r="Y58" s="283" t="s">
        <v>168</v>
      </c>
    </row>
  </sheetData>
  <mergeCells count="56">
    <mergeCell ref="AK38:AK39"/>
    <mergeCell ref="P39:P40"/>
    <mergeCell ref="L21:M21"/>
    <mergeCell ref="Z38:AA38"/>
    <mergeCell ref="AB38:AC38"/>
    <mergeCell ref="AD38:AE38"/>
    <mergeCell ref="N22:N23"/>
    <mergeCell ref="P22:P23"/>
    <mergeCell ref="AI23:AI24"/>
    <mergeCell ref="AK23:AK24"/>
    <mergeCell ref="X22:X23"/>
    <mergeCell ref="Y22:Y23"/>
    <mergeCell ref="Z22:AA22"/>
    <mergeCell ref="AB22:AC22"/>
    <mergeCell ref="AD22:AE22"/>
    <mergeCell ref="AG22:AH22"/>
    <mergeCell ref="B2:C2"/>
    <mergeCell ref="L2:M2"/>
    <mergeCell ref="W2:X2"/>
    <mergeCell ref="B3:B4"/>
    <mergeCell ref="C3:C4"/>
    <mergeCell ref="D3:D4"/>
    <mergeCell ref="E3:F3"/>
    <mergeCell ref="G3:H3"/>
    <mergeCell ref="I3:J3"/>
    <mergeCell ref="L3:L4"/>
    <mergeCell ref="AH4:AH5"/>
    <mergeCell ref="E39:F39"/>
    <mergeCell ref="G39:H39"/>
    <mergeCell ref="I39:J39"/>
    <mergeCell ref="Y3:Y4"/>
    <mergeCell ref="W22:W23"/>
    <mergeCell ref="M22:M23"/>
    <mergeCell ref="I22:J22"/>
    <mergeCell ref="L22:L23"/>
    <mergeCell ref="Z3:AA3"/>
    <mergeCell ref="AB3:AC3"/>
    <mergeCell ref="AD3:AE3"/>
    <mergeCell ref="AG23:AG24"/>
    <mergeCell ref="AH23:AH24"/>
    <mergeCell ref="AI4:AI5"/>
    <mergeCell ref="AK4:AK5"/>
    <mergeCell ref="B21:C21"/>
    <mergeCell ref="W21:X21"/>
    <mergeCell ref="B22:B23"/>
    <mergeCell ref="C22:C23"/>
    <mergeCell ref="D22:D23"/>
    <mergeCell ref="E22:F22"/>
    <mergeCell ref="G22:H22"/>
    <mergeCell ref="M3:M4"/>
    <mergeCell ref="N3:N4"/>
    <mergeCell ref="P3:P4"/>
    <mergeCell ref="W3:W4"/>
    <mergeCell ref="X3:X4"/>
    <mergeCell ref="AG3:AH3"/>
    <mergeCell ref="AG4:A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1"/>
  <sheetViews>
    <sheetView topLeftCell="L17" zoomScale="57" zoomScaleNormal="68" workbookViewId="0">
      <selection activeCell="AY11" sqref="AY11:BC11"/>
    </sheetView>
  </sheetViews>
  <sheetFormatPr baseColWidth="10" defaultRowHeight="15.5"/>
  <cols>
    <col min="4" max="4" width="12.6640625" bestFit="1" customWidth="1"/>
    <col min="26" max="26" width="12.6640625" bestFit="1" customWidth="1"/>
    <col min="47" max="47" width="12.83203125" bestFit="1" customWidth="1"/>
    <col min="48" max="48" width="11.1640625" bestFit="1" customWidth="1"/>
    <col min="49" max="49" width="10.1640625" bestFit="1" customWidth="1"/>
    <col min="54" max="54" width="11.5" bestFit="1" customWidth="1"/>
  </cols>
  <sheetData>
    <row r="1" spans="1:56" ht="16" thickBot="1">
      <c r="A1" t="s">
        <v>111</v>
      </c>
    </row>
    <row r="2" spans="1:56" ht="16" thickBot="1">
      <c r="B2" s="1331" t="s">
        <v>47</v>
      </c>
      <c r="C2" s="1332"/>
      <c r="D2" t="s">
        <v>181</v>
      </c>
      <c r="L2" s="1331" t="s">
        <v>47</v>
      </c>
      <c r="M2" s="1332"/>
      <c r="N2" t="s">
        <v>180</v>
      </c>
      <c r="T2" s="142" t="s">
        <v>110</v>
      </c>
      <c r="U2" s="142"/>
      <c r="V2" s="142"/>
      <c r="X2" s="1333" t="s">
        <v>47</v>
      </c>
      <c r="Y2" s="1334"/>
      <c r="Z2" s="18" t="s">
        <v>181</v>
      </c>
      <c r="AA2" s="18"/>
      <c r="AB2" s="18"/>
      <c r="AH2" s="508" t="s">
        <v>47</v>
      </c>
      <c r="AI2" s="509"/>
      <c r="AJ2" t="s">
        <v>180</v>
      </c>
      <c r="AS2" s="1331" t="s">
        <v>47</v>
      </c>
      <c r="AT2" s="1407"/>
      <c r="AU2" s="1407"/>
      <c r="AV2" s="1407"/>
      <c r="AW2" s="1407"/>
      <c r="AX2" s="1407"/>
      <c r="AY2" s="1407"/>
      <c r="AZ2" s="1407"/>
      <c r="BA2" s="1407"/>
      <c r="BB2" s="1407"/>
      <c r="BC2" s="1332"/>
    </row>
    <row r="3" spans="1:56" ht="16" thickBot="1">
      <c r="B3" s="1335" t="s">
        <v>77</v>
      </c>
      <c r="C3" s="1337"/>
      <c r="D3" s="1339" t="s">
        <v>102</v>
      </c>
      <c r="E3" s="1341" t="s">
        <v>103</v>
      </c>
      <c r="F3" s="1345"/>
      <c r="G3" s="1342" t="s">
        <v>108</v>
      </c>
      <c r="H3" s="1343"/>
      <c r="I3" s="1345" t="s">
        <v>109</v>
      </c>
      <c r="J3" s="1346"/>
      <c r="L3" s="1335" t="s">
        <v>77</v>
      </c>
      <c r="M3" s="1337"/>
      <c r="N3" s="1328" t="s">
        <v>106</v>
      </c>
      <c r="O3" s="138" t="s">
        <v>107</v>
      </c>
      <c r="P3" s="1329" t="s">
        <v>108</v>
      </c>
      <c r="Q3" s="127" t="s">
        <v>109</v>
      </c>
      <c r="R3" t="s">
        <v>206</v>
      </c>
      <c r="T3" t="s">
        <v>121</v>
      </c>
      <c r="X3" s="1344" t="s">
        <v>77</v>
      </c>
      <c r="Y3" s="1337"/>
      <c r="Z3" s="1347" t="s">
        <v>102</v>
      </c>
      <c r="AA3" s="1349" t="s">
        <v>103</v>
      </c>
      <c r="AB3" s="1349"/>
      <c r="AC3" s="1342" t="s">
        <v>108</v>
      </c>
      <c r="AD3" s="1343"/>
      <c r="AE3" s="1345" t="s">
        <v>109</v>
      </c>
      <c r="AF3" s="1346"/>
      <c r="AH3" s="510" t="s">
        <v>77</v>
      </c>
      <c r="AI3" s="511"/>
      <c r="AJ3" s="505" t="s">
        <v>106</v>
      </c>
      <c r="AK3" s="138" t="s">
        <v>107</v>
      </c>
      <c r="AL3" s="506" t="s">
        <v>108</v>
      </c>
      <c r="AM3" s="513" t="s">
        <v>109</v>
      </c>
      <c r="AN3" t="s">
        <v>206</v>
      </c>
      <c r="AS3" s="1424" t="s">
        <v>77</v>
      </c>
      <c r="AT3" s="1425"/>
      <c r="AU3" s="1428" t="s">
        <v>102</v>
      </c>
      <c r="AV3" s="1002" t="s">
        <v>225</v>
      </c>
      <c r="AW3" s="1003" t="s">
        <v>227</v>
      </c>
      <c r="AX3" s="992"/>
      <c r="AY3" s="1424" t="s">
        <v>77</v>
      </c>
      <c r="AZ3" s="1425"/>
      <c r="BA3" s="1428" t="s">
        <v>102</v>
      </c>
      <c r="BB3" s="1002" t="s">
        <v>225</v>
      </c>
      <c r="BC3" s="1003" t="s">
        <v>227</v>
      </c>
    </row>
    <row r="4" spans="1:56" ht="16" thickBot="1">
      <c r="B4" s="1336"/>
      <c r="C4" s="1338"/>
      <c r="D4" s="1340"/>
      <c r="E4" s="149" t="s">
        <v>104</v>
      </c>
      <c r="F4" s="303" t="s">
        <v>105</v>
      </c>
      <c r="G4" s="13" t="s">
        <v>113</v>
      </c>
      <c r="H4" s="156" t="s">
        <v>114</v>
      </c>
      <c r="I4" s="157" t="s">
        <v>113</v>
      </c>
      <c r="J4" s="384" t="s">
        <v>114</v>
      </c>
      <c r="L4" s="1336"/>
      <c r="M4" s="1338"/>
      <c r="N4" s="1328"/>
      <c r="O4" s="139" t="s">
        <v>42</v>
      </c>
      <c r="P4" s="1330"/>
      <c r="Q4" s="127" t="s">
        <v>36</v>
      </c>
      <c r="R4" t="s">
        <v>207</v>
      </c>
      <c r="T4" s="142" t="s">
        <v>208</v>
      </c>
      <c r="U4" t="s">
        <v>119</v>
      </c>
      <c r="X4" s="1336"/>
      <c r="Y4" s="1338"/>
      <c r="Z4" s="1348"/>
      <c r="AA4" s="294" t="s">
        <v>104</v>
      </c>
      <c r="AB4" s="294" t="s">
        <v>105</v>
      </c>
      <c r="AC4" s="150" t="s">
        <v>113</v>
      </c>
      <c r="AD4" s="7" t="s">
        <v>114</v>
      </c>
      <c r="AE4" s="161" t="s">
        <v>113</v>
      </c>
      <c r="AF4" s="162" t="s">
        <v>114</v>
      </c>
      <c r="AH4" s="510"/>
      <c r="AI4" s="512"/>
      <c r="AJ4" s="505"/>
      <c r="AK4" s="514" t="s">
        <v>42</v>
      </c>
      <c r="AL4" s="507"/>
      <c r="AM4" s="149" t="s">
        <v>36</v>
      </c>
      <c r="AN4" t="s">
        <v>207</v>
      </c>
      <c r="AS4" s="1426"/>
      <c r="AT4" s="1427"/>
      <c r="AU4" s="1429"/>
      <c r="AV4" s="874" t="s">
        <v>226</v>
      </c>
      <c r="AW4" s="874" t="s">
        <v>228</v>
      </c>
      <c r="AX4" s="993"/>
      <c r="AY4" s="1426"/>
      <c r="AZ4" s="1427"/>
      <c r="BA4" s="1429"/>
      <c r="BB4" s="874" t="s">
        <v>226</v>
      </c>
      <c r="BC4" s="874" t="s">
        <v>228</v>
      </c>
    </row>
    <row r="5" spans="1:56" ht="16" thickBot="1">
      <c r="B5" s="32" t="s">
        <v>60</v>
      </c>
      <c r="C5" s="121" t="s">
        <v>57</v>
      </c>
      <c r="D5" s="147">
        <f>'[1]Lode 60+20min'!$C$20</f>
        <v>239</v>
      </c>
      <c r="E5" s="146">
        <f>'[1]VO2 60+20min'!$K$4</f>
        <v>3593.4833333333331</v>
      </c>
      <c r="F5" s="146">
        <f>'[1]VO2 60+20min'!$L$4</f>
        <v>3549.1090909090908</v>
      </c>
      <c r="G5" s="154">
        <f>'[1]VO2 60+20min'!$Q$4</f>
        <v>0.84666666666666635</v>
      </c>
      <c r="H5" s="155">
        <f>'[1]VO2 60+20min'!$R$4</f>
        <v>0.86763636363636354</v>
      </c>
      <c r="I5" s="159">
        <f>D5/((E5/60000)*(4840*G5+16890))*100</f>
        <v>19.013637945384318</v>
      </c>
      <c r="J5" s="159">
        <f>D5/((F5/60000)*(4840*H5+16890))*100</f>
        <v>19.158716112986042</v>
      </c>
      <c r="L5" s="32" t="s">
        <v>60</v>
      </c>
      <c r="M5" s="133" t="s">
        <v>57</v>
      </c>
      <c r="N5" s="123">
        <v>225</v>
      </c>
      <c r="O5" s="14">
        <f>'[1]Laktatprofil+VO2max'!$C$5</f>
        <v>3381.9583333333335</v>
      </c>
      <c r="P5" s="145">
        <f>'[1]Laktatprofil+VO2max'!$X$11</f>
        <v>0.85666666666666635</v>
      </c>
      <c r="Q5" s="144">
        <f>N5/((O5/60000)*(4840*P5+16890))*100</f>
        <v>18.975658169696263</v>
      </c>
      <c r="R5" s="124">
        <f>J5-Q5</f>
        <v>0.18305794328977854</v>
      </c>
      <c r="X5" s="89" t="s">
        <v>61</v>
      </c>
      <c r="Y5" s="121" t="s">
        <v>58</v>
      </c>
      <c r="Z5" s="123">
        <f>'[2]Lode 60+20min'!$C$29</f>
        <v>221</v>
      </c>
      <c r="AA5" s="131">
        <f>'[2]VO2 60+20min'!$K$4</f>
        <v>3396.8</v>
      </c>
      <c r="AB5" s="126">
        <f>'[2]VO2 60+20min'!$L$4</f>
        <v>3411.8148148148148</v>
      </c>
      <c r="AC5" s="169">
        <f>'[2]VO2 60+20min'!$Q$4</f>
        <v>0.81270833333333325</v>
      </c>
      <c r="AD5" s="169">
        <f>'[2]VO2 60+20min'!$R$4</f>
        <v>0.86277777777777787</v>
      </c>
      <c r="AE5" s="171">
        <f>Z5/((AA5/60000)*(4840*AC5+16890))*100</f>
        <v>18.746476259777356</v>
      </c>
      <c r="AF5" s="171">
        <f>Z5/((AB5/60000)*(4840*AD5+16890))*100</f>
        <v>18.449270586083472</v>
      </c>
      <c r="AH5" s="308" t="s">
        <v>61</v>
      </c>
      <c r="AI5" s="307" t="s">
        <v>58</v>
      </c>
      <c r="AJ5" s="123">
        <v>225</v>
      </c>
      <c r="AK5" s="173">
        <f>'[2]Laktatprofil+VO2max'!$V$11</f>
        <v>3268.7916666666665</v>
      </c>
      <c r="AL5" s="172">
        <f>'[2]Laktatprofil+VO2max'!$X$11</f>
        <v>0.8737499999999998</v>
      </c>
      <c r="AM5" s="160">
        <f>AJ5/((AK5/60000)*(4840*AL5+16890))*100</f>
        <v>19.555737742119799</v>
      </c>
      <c r="AN5" s="124">
        <f>AF5-AM5</f>
        <v>-1.1064671560363273</v>
      </c>
      <c r="AS5" s="986" t="s">
        <v>60</v>
      </c>
      <c r="AT5" s="987" t="s">
        <v>57</v>
      </c>
      <c r="AU5" s="988">
        <v>239</v>
      </c>
      <c r="AV5" s="997">
        <f>J5-Q5</f>
        <v>0.18305794328977854</v>
      </c>
      <c r="AW5" s="996">
        <f>(J5-Q5)/Q5*100</f>
        <v>0.96469878226473482</v>
      </c>
      <c r="AX5" s="994"/>
      <c r="AY5" s="89" t="s">
        <v>61</v>
      </c>
      <c r="AZ5" s="121" t="s">
        <v>58</v>
      </c>
      <c r="BA5" s="988"/>
      <c r="BB5" s="998">
        <f t="shared" ref="BB5:BB11" si="0">AF26-AM26</f>
        <v>-1.2628049485316346</v>
      </c>
      <c r="BC5" s="996"/>
    </row>
    <row r="6" spans="1:56" ht="16" thickBot="1">
      <c r="B6" s="32" t="s">
        <v>60</v>
      </c>
      <c r="C6" s="122" t="s">
        <v>59</v>
      </c>
      <c r="D6" s="148">
        <f>'[3]Lode 60+20min'!$C$28</f>
        <v>222</v>
      </c>
      <c r="E6" s="151">
        <f>'[3]VO2 60+20min'!$K$4</f>
        <v>3382.2075471698113</v>
      </c>
      <c r="F6" s="151">
        <f>'[3]VO2 60+20min'!$L$4</f>
        <v>3376.9807692307691</v>
      </c>
      <c r="G6" s="152">
        <f>'[3]VO2 60+20min'!$Q$4</f>
        <v>0.83333333333333315</v>
      </c>
      <c r="H6" s="153">
        <f>'[3]VO2 60+20min'!$R$4</f>
        <v>0.90519230769230741</v>
      </c>
      <c r="I6" s="159">
        <f t="shared" ref="I6:I12" si="1">D6/((E6/60000)*(4840*G6+16890))*100</f>
        <v>18.822317571855905</v>
      </c>
      <c r="J6" s="159">
        <f t="shared" ref="J6:J12" si="2">D6/((F6/60000)*(4840*H6+16890))*100</f>
        <v>18.543216111870162</v>
      </c>
      <c r="L6" s="32" t="s">
        <v>60</v>
      </c>
      <c r="M6" s="134" t="s">
        <v>59</v>
      </c>
      <c r="N6" s="123">
        <v>225</v>
      </c>
      <c r="O6" s="144">
        <f>'[3]Laktatprofil+VO2max'!$C$5</f>
        <v>3423.8333333333335</v>
      </c>
      <c r="P6" s="145">
        <f>'[3]Laktatprofil+VO2max'!$X$11</f>
        <v>0.90708333333333357</v>
      </c>
      <c r="Q6" s="144">
        <f t="shared" ref="Q6:Q13" si="3">N6/((O6/60000)*(4840*P6+16890))*100</f>
        <v>18.528648677346972</v>
      </c>
      <c r="R6" s="124">
        <f t="shared" ref="R6:R12" si="4">J6-Q6</f>
        <v>1.4567434523190315E-2</v>
      </c>
      <c r="U6" s="305"/>
      <c r="X6" s="32" t="s">
        <v>61</v>
      </c>
      <c r="Y6" s="121" t="s">
        <v>63</v>
      </c>
      <c r="Z6" s="123">
        <f>'[4]Lode 60+20min'!$C$13</f>
        <v>197</v>
      </c>
      <c r="AA6" s="131">
        <f>'[4]VO2 60+20min'!$K$4</f>
        <v>2972.1458333333335</v>
      </c>
      <c r="AB6" s="126">
        <f>'[4]VO2 60+20min'!$L$4</f>
        <v>3052.0384615384614</v>
      </c>
      <c r="AC6" s="169">
        <f>'[4]VO2 60+20min'!$Q$4</f>
        <v>0.87833333333333374</v>
      </c>
      <c r="AD6" s="169">
        <f>'[4]VO2 60+20min'!$R$4</f>
        <v>0.88240000000000007</v>
      </c>
      <c r="AE6" s="171">
        <f t="shared" ref="AE6:AE11" si="5">Z6/((AA6/60000)*(4840*AC6+16890))*100</f>
        <v>18.811312420588727</v>
      </c>
      <c r="AF6" s="171">
        <f t="shared" ref="AF6:AF11" si="6">Z6/((AB6/60000)*(4840*AD6+16890))*100</f>
        <v>18.301853026006601</v>
      </c>
      <c r="AH6" s="309" t="s">
        <v>61</v>
      </c>
      <c r="AI6" s="307" t="s">
        <v>63</v>
      </c>
      <c r="AJ6" s="123">
        <v>175</v>
      </c>
      <c r="AK6" s="500">
        <f>'[4]Laktatprofil+VO2max'!$V$10</f>
        <v>2745.1666666666665</v>
      </c>
      <c r="AL6" s="501">
        <f>'[4]Laktatprofil+VO2max'!$X$10</f>
        <v>0.88416666666666688</v>
      </c>
      <c r="AM6" s="499">
        <f t="shared" ref="AM6:AM11" si="7">AJ6/((AK6/60000)*(4840*AL6+16890))*100</f>
        <v>18.068109630380526</v>
      </c>
      <c r="AN6" s="124">
        <f t="shared" ref="AN6:AN11" si="8">AF6-AM6</f>
        <v>0.2337433956260746</v>
      </c>
      <c r="AS6" s="986" t="s">
        <v>60</v>
      </c>
      <c r="AT6" s="989" t="s">
        <v>59</v>
      </c>
      <c r="AU6" s="990">
        <v>222</v>
      </c>
      <c r="AV6" s="998">
        <f t="shared" ref="AV6:AV12" si="9">J6-Q6</f>
        <v>1.4567434523190315E-2</v>
      </c>
      <c r="AW6" s="999">
        <f t="shared" ref="AW6:AW12" si="10">(J6-Q6)/Q6*100</f>
        <v>7.862113841577871E-2</v>
      </c>
      <c r="AX6" s="994"/>
      <c r="AY6" s="32" t="s">
        <v>61</v>
      </c>
      <c r="AZ6" s="121" t="s">
        <v>63</v>
      </c>
      <c r="BA6" s="990"/>
      <c r="BB6" s="998">
        <f t="shared" si="0"/>
        <v>-0.13616667741415256</v>
      </c>
      <c r="BC6" s="999"/>
    </row>
    <row r="7" spans="1:56" ht="16" thickBot="1">
      <c r="B7" s="32" t="s">
        <v>60</v>
      </c>
      <c r="C7" s="121" t="s">
        <v>62</v>
      </c>
      <c r="D7" s="147">
        <f>'[5]Lode 60+20min'!$C$32</f>
        <v>186</v>
      </c>
      <c r="E7" s="146">
        <f>'[5]VO2 60+20min 29.09'!$K$4</f>
        <v>2649.9583333333335</v>
      </c>
      <c r="F7" s="146">
        <f>'[5]VO2 60+20min 29.09'!$L$4</f>
        <v>2739.5769230769229</v>
      </c>
      <c r="G7" s="152">
        <f>'[5]VO2 60+20min 29.09'!$Q$4</f>
        <v>0.8364583333333333</v>
      </c>
      <c r="H7" s="153">
        <f>'[5]VO2 60+20min 29.09'!$R$4</f>
        <v>0.84560000000000035</v>
      </c>
      <c r="I7" s="159">
        <f t="shared" si="1"/>
        <v>20.113166425385167</v>
      </c>
      <c r="J7" s="159">
        <f t="shared" si="2"/>
        <v>19.414188462207164</v>
      </c>
      <c r="K7" t="s">
        <v>115</v>
      </c>
      <c r="L7" s="32" t="s">
        <v>60</v>
      </c>
      <c r="M7" s="133" t="s">
        <v>62</v>
      </c>
      <c r="N7" s="123">
        <v>175</v>
      </c>
      <c r="O7" s="495">
        <f>'[5]Laktatprofil+VO2max 28.09'!$C$4</f>
        <v>2708.8333333333335</v>
      </c>
      <c r="P7" s="496">
        <f>'[5]Laktatprofil+VO2max 28.09'!$X$10</f>
        <v>0.83000000000000007</v>
      </c>
      <c r="Q7" s="495">
        <f t="shared" si="3"/>
        <v>18.540060215572939</v>
      </c>
      <c r="R7" s="124">
        <f t="shared" si="4"/>
        <v>0.87412824663422484</v>
      </c>
      <c r="S7" t="s">
        <v>115</v>
      </c>
      <c r="U7" s="305"/>
      <c r="X7" s="32" t="s">
        <v>61</v>
      </c>
      <c r="Y7" s="121" t="s">
        <v>65</v>
      </c>
      <c r="Z7" s="123">
        <f>'[6]Lode 60+20min'!$C$70</f>
        <v>285</v>
      </c>
      <c r="AA7" s="131">
        <f>'[6]VO2 60+20min'!$K$4</f>
        <v>4070.7166666666667</v>
      </c>
      <c r="AB7" s="126">
        <f>'[6]VO2 60+20min'!$L$4</f>
        <v>4262.9677419354839</v>
      </c>
      <c r="AC7" s="169">
        <f>'[6]VO2 60+20min'!$Q$4</f>
        <v>0.87444444444444425</v>
      </c>
      <c r="AD7" s="169">
        <f>'[6]VO2 60+20min'!$R$4</f>
        <v>0.88421052631578967</v>
      </c>
      <c r="AE7" s="171">
        <f t="shared" si="5"/>
        <v>19.887665191087002</v>
      </c>
      <c r="AF7" s="171">
        <f>Z7/((AB7/60000)*(4840*AD7+16890))*100</f>
        <v>18.948369448611324</v>
      </c>
      <c r="AH7" s="309" t="s">
        <v>61</v>
      </c>
      <c r="AI7" s="307" t="s">
        <v>65</v>
      </c>
      <c r="AJ7" s="123">
        <v>275</v>
      </c>
      <c r="AK7" s="500">
        <f>'[6]Laktatprofil+VO2max'!$V$12</f>
        <v>3629.8695652173915</v>
      </c>
      <c r="AL7" s="501">
        <f>'[6]Laktatprofil+VO2max'!$X$12</f>
        <v>0.91500000000000037</v>
      </c>
      <c r="AM7" s="499">
        <f t="shared" si="7"/>
        <v>21.322309535467248</v>
      </c>
      <c r="AN7" s="124">
        <f t="shared" si="8"/>
        <v>-2.3739400868559244</v>
      </c>
      <c r="AS7" s="986" t="s">
        <v>60</v>
      </c>
      <c r="AT7" s="987" t="s">
        <v>62</v>
      </c>
      <c r="AU7" s="988">
        <v>186</v>
      </c>
      <c r="AV7" s="998">
        <f t="shared" si="9"/>
        <v>0.87412824663422484</v>
      </c>
      <c r="AW7" s="999">
        <f t="shared" si="10"/>
        <v>4.7148080236545864</v>
      </c>
      <c r="AX7" s="994"/>
      <c r="AY7" s="32" t="s">
        <v>61</v>
      </c>
      <c r="AZ7" s="121" t="s">
        <v>65</v>
      </c>
      <c r="BA7" s="988"/>
      <c r="BB7" s="998">
        <f t="shared" si="0"/>
        <v>-1.9826670017000545</v>
      </c>
      <c r="BC7" s="999"/>
    </row>
    <row r="8" spans="1:56" ht="16" thickBot="1">
      <c r="B8" s="32" t="s">
        <v>60</v>
      </c>
      <c r="C8" s="121" t="s">
        <v>64</v>
      </c>
      <c r="D8" s="147">
        <f>'[7]Lode 60+20min'!$C$29</f>
        <v>166</v>
      </c>
      <c r="E8" s="146">
        <f>'[7]VO2 60+20min'!$K$4</f>
        <v>2425.0833333333335</v>
      </c>
      <c r="F8" s="146">
        <f>'[7]VO2 60+20min'!$L$4</f>
        <v>2484.6153846153848</v>
      </c>
      <c r="G8" s="152">
        <f>'[7]VO2 60+20min'!$Q$4</f>
        <v>0.85604166666666648</v>
      </c>
      <c r="H8" s="153">
        <f>'[7]VO2 60+20min'!$R$4</f>
        <v>0.90819999999999934</v>
      </c>
      <c r="I8" s="159">
        <f t="shared" si="1"/>
        <v>19.526592349975118</v>
      </c>
      <c r="J8" s="159">
        <f t="shared" si="2"/>
        <v>18.832695145443061</v>
      </c>
      <c r="L8" s="32" t="s">
        <v>60</v>
      </c>
      <c r="M8" s="133" t="s">
        <v>64</v>
      </c>
      <c r="N8" s="123">
        <v>175</v>
      </c>
      <c r="O8" s="495">
        <f>'[7]Laktatprofil+VO2max'!$V$10</f>
        <v>2617.875</v>
      </c>
      <c r="P8" s="496">
        <f>'[7]Laktatprofil+VO2max'!$X$10</f>
        <v>0.91374999999999995</v>
      </c>
      <c r="Q8" s="495">
        <f t="shared" si="3"/>
        <v>18.81936554964534</v>
      </c>
      <c r="R8" s="124">
        <f t="shared" si="4"/>
        <v>1.3329595797721083E-2</v>
      </c>
      <c r="U8" s="305"/>
      <c r="W8" s="286">
        <v>315</v>
      </c>
      <c r="X8" s="33" t="s">
        <v>61</v>
      </c>
      <c r="Y8" s="121" t="s">
        <v>66</v>
      </c>
      <c r="Z8" s="123">
        <f>'[8]Lode 60+20min'!$C$6856</f>
        <v>264</v>
      </c>
      <c r="AB8" s="311">
        <f>'[8]VO2 60+20min'!$K$4</f>
        <v>3931.8536585365855</v>
      </c>
      <c r="AD8" s="288">
        <f>'[8]VO2 60+20min'!$Q$4</f>
        <v>0.87857142857142856</v>
      </c>
      <c r="AF8" s="289">
        <f>Z8/((AB8/60000)*(4840*AD8+16890))*100</f>
        <v>19.054865800162389</v>
      </c>
      <c r="AG8" s="286" t="s">
        <v>118</v>
      </c>
      <c r="AH8" s="309" t="s">
        <v>61</v>
      </c>
      <c r="AI8" s="307" t="s">
        <v>66</v>
      </c>
      <c r="AJ8" s="123">
        <v>275</v>
      </c>
      <c r="AK8" s="500">
        <f>'[8]Laktatprofil+VO2max'!$V$12</f>
        <v>3845.4347826086955</v>
      </c>
      <c r="AL8" s="501">
        <f>'[8]Laktatprofil+VO2max'!$X$12</f>
        <v>0.96499999999999997</v>
      </c>
      <c r="AM8" s="499">
        <f t="shared" si="7"/>
        <v>19.901126097852377</v>
      </c>
      <c r="AN8" s="124">
        <f t="shared" si="8"/>
        <v>-0.84626029768998734</v>
      </c>
      <c r="AS8" s="986" t="s">
        <v>60</v>
      </c>
      <c r="AT8" s="987" t="s">
        <v>64</v>
      </c>
      <c r="AU8" s="988">
        <v>166</v>
      </c>
      <c r="AV8" s="998">
        <f t="shared" si="9"/>
        <v>1.3329595797721083E-2</v>
      </c>
      <c r="AW8" s="999">
        <f t="shared" si="10"/>
        <v>7.0829145448913847E-2</v>
      </c>
      <c r="AX8" s="994"/>
      <c r="AY8" s="33" t="s">
        <v>61</v>
      </c>
      <c r="AZ8" s="121" t="s">
        <v>66</v>
      </c>
      <c r="BA8" s="988"/>
      <c r="BB8" s="998">
        <f t="shared" si="0"/>
        <v>-1.3043603545495728</v>
      </c>
      <c r="BC8" s="999"/>
    </row>
    <row r="9" spans="1:56" ht="16" thickBot="1">
      <c r="A9" s="286">
        <v>225</v>
      </c>
      <c r="B9" s="33" t="s">
        <v>60</v>
      </c>
      <c r="C9" s="121" t="s">
        <v>67</v>
      </c>
      <c r="D9" s="147">
        <f>'[9]Lode 60+20min'!$C$10802</f>
        <v>258</v>
      </c>
      <c r="E9" s="290">
        <f>'[9]VO2 60+20min'!$K$4</f>
        <v>3389.7333333333331</v>
      </c>
      <c r="F9" s="290">
        <f>'[9]VO2 60+20min'!$L$4</f>
        <v>3859.406779661017</v>
      </c>
      <c r="G9" s="291">
        <f>'[9]VO2 60+20min'!$Q$4</f>
        <v>0.89833333333333321</v>
      </c>
      <c r="H9" s="292">
        <f>'[9]VO2 60+20min'!$R$4</f>
        <v>0.91406779661016935</v>
      </c>
      <c r="I9" s="293">
        <f>A9/((E9/60000)*(4840*G9+16890))*100</f>
        <v>18.752362133193234</v>
      </c>
      <c r="J9" s="293">
        <f>D9/((F9/60000)*(4840*H9+16890))*100</f>
        <v>18.818441080854921</v>
      </c>
      <c r="K9" s="286" t="s">
        <v>118</v>
      </c>
      <c r="L9" s="32" t="s">
        <v>60</v>
      </c>
      <c r="M9" s="133" t="s">
        <v>67</v>
      </c>
      <c r="N9" s="123">
        <v>275</v>
      </c>
      <c r="O9" s="495">
        <f>'[9]Laktatprofil+VO2max'!$V$12</f>
        <v>3955.608695652174</v>
      </c>
      <c r="P9" s="496">
        <f>'[9]Laktatprofil+VO2max'!$X$12</f>
        <v>0.96416666666666673</v>
      </c>
      <c r="Q9" s="495">
        <f t="shared" si="3"/>
        <v>19.350448245033945</v>
      </c>
      <c r="R9" s="124">
        <f t="shared" si="4"/>
        <v>-0.53200716417902427</v>
      </c>
      <c r="U9" s="305"/>
      <c r="W9">
        <v>255</v>
      </c>
      <c r="X9" s="32" t="s">
        <v>61</v>
      </c>
      <c r="Y9" s="121" t="s">
        <v>69</v>
      </c>
      <c r="Z9" s="123">
        <f>'[10]Lode 60+20min'!$C$10651</f>
        <v>246</v>
      </c>
      <c r="AA9" s="131">
        <f>'[10]VO2 60+20min'!$K$8</f>
        <v>3410.4616666666666</v>
      </c>
      <c r="AB9" s="126">
        <f>'[10]VO2 60+20min'!$L$8</f>
        <v>3202.749230769231</v>
      </c>
      <c r="AC9" s="169">
        <f>'[10]VO2 60+20min'!$Q$8</f>
        <v>0.87583333333333335</v>
      </c>
      <c r="AD9" s="169">
        <f>'[10]VO2 60+20min'!$R$8</f>
        <v>0.8780769230769232</v>
      </c>
      <c r="AE9" s="171">
        <f>W9/((AA9/60000)*(4840*AC9+16890))*100</f>
        <v>21.232377646435435</v>
      </c>
      <c r="AF9" s="289">
        <f>Z9/((AB9/60000)*(4840*AD9+16890))*100</f>
        <v>21.800208705557473</v>
      </c>
      <c r="AG9" t="s">
        <v>112</v>
      </c>
      <c r="AH9" s="309" t="s">
        <v>61</v>
      </c>
      <c r="AI9" s="307" t="s">
        <v>69</v>
      </c>
      <c r="AJ9" s="123">
        <v>225</v>
      </c>
      <c r="AK9" s="500">
        <f>'[10]CORRECTED Laktatprofil+VO2max'!$V$11</f>
        <v>3128.7666666666669</v>
      </c>
      <c r="AL9" s="501">
        <f>'[10]CORRECTED Laktatprofil+VO2max'!$X$11</f>
        <v>0.92428571428571416</v>
      </c>
      <c r="AM9" s="499">
        <f t="shared" si="7"/>
        <v>20.19702096003429</v>
      </c>
      <c r="AN9" s="124">
        <f t="shared" si="8"/>
        <v>1.6031877455231829</v>
      </c>
      <c r="AS9" s="985" t="s">
        <v>60</v>
      </c>
      <c r="AT9" s="987" t="s">
        <v>67</v>
      </c>
      <c r="AU9" s="988">
        <v>258</v>
      </c>
      <c r="AV9" s="998">
        <f t="shared" si="9"/>
        <v>-0.53200716417902427</v>
      </c>
      <c r="AW9" s="999">
        <f t="shared" si="10"/>
        <v>-2.7493273408565995</v>
      </c>
      <c r="AX9" s="994"/>
      <c r="AY9" s="32" t="s">
        <v>61</v>
      </c>
      <c r="AZ9" s="121" t="s">
        <v>69</v>
      </c>
      <c r="BA9" s="988"/>
      <c r="BB9" s="998">
        <f t="shared" si="0"/>
        <v>0.94976909048103764</v>
      </c>
      <c r="BC9" s="999"/>
    </row>
    <row r="10" spans="1:56" ht="16" thickBot="1">
      <c r="B10" s="32" t="s">
        <v>60</v>
      </c>
      <c r="C10" s="121" t="s">
        <v>68</v>
      </c>
      <c r="D10" s="147">
        <f>'[11]Lode 60+20min'!$C$35</f>
        <v>208</v>
      </c>
      <c r="E10" s="146">
        <f>'[11]VO2 60+20min'!$K$4</f>
        <v>3079.6774193548385</v>
      </c>
      <c r="F10" s="146">
        <f>'[11]VO2 60+20min'!$L$4</f>
        <v>3210.5645161290322</v>
      </c>
      <c r="G10" s="152">
        <f>'[11]VO2 60+20min'!$Q$4</f>
        <v>0.84458333333333335</v>
      </c>
      <c r="H10" s="153">
        <f>'[11]VO2 60+20min'!$R$4</f>
        <v>0.66360000000000019</v>
      </c>
      <c r="I10" s="159">
        <f t="shared" si="1"/>
        <v>19.317448410238022</v>
      </c>
      <c r="J10" s="159">
        <f t="shared" si="2"/>
        <v>19.337383828600359</v>
      </c>
      <c r="L10" s="32" t="s">
        <v>60</v>
      </c>
      <c r="M10" s="133" t="s">
        <v>68</v>
      </c>
      <c r="N10" s="123">
        <v>225</v>
      </c>
      <c r="O10" s="144">
        <f>'[12]Laktatprofil+VO2max'!$V$11</f>
        <v>3289.8260869565215</v>
      </c>
      <c r="P10" s="145">
        <f>'[12]Laktatprofil+VO2max'!$X$11</f>
        <v>0.93750000000000011</v>
      </c>
      <c r="Q10" s="144">
        <f t="shared" si="3"/>
        <v>19.150906002995814</v>
      </c>
      <c r="R10" s="124">
        <f t="shared" si="4"/>
        <v>0.18647782560454473</v>
      </c>
      <c r="U10" s="305"/>
      <c r="X10" s="32" t="s">
        <v>61</v>
      </c>
      <c r="Y10" s="121" t="s">
        <v>70</v>
      </c>
      <c r="Z10" s="123">
        <f>'[13]Lode 60+20min'!$C$40</f>
        <v>176</v>
      </c>
      <c r="AA10" s="311">
        <f>'[13]VO2 60+20min'!$K$9</f>
        <v>2646.3681967213115</v>
      </c>
      <c r="AB10" s="287">
        <f>'[13]VO2 60+20min'!$L$9</f>
        <v>2763.3384615384621</v>
      </c>
      <c r="AC10" s="288">
        <f>'[13]VO2 60+20min'!$Q$9</f>
        <v>0.79786885245901606</v>
      </c>
      <c r="AD10" s="288">
        <f>'[13]VO2 60+20min'!$R$9</f>
        <v>0.79519230769230786</v>
      </c>
      <c r="AE10" s="289">
        <f t="shared" si="5"/>
        <v>19.229158444477477</v>
      </c>
      <c r="AF10" s="289">
        <f t="shared" si="6"/>
        <v>18.426704137429276</v>
      </c>
      <c r="AG10" s="286"/>
      <c r="AH10" s="309" t="s">
        <v>61</v>
      </c>
      <c r="AI10" s="307" t="s">
        <v>70</v>
      </c>
      <c r="AJ10" s="123">
        <v>175</v>
      </c>
      <c r="AK10" s="500">
        <f>'[34]Laktatprofil+VO2max'!$V$10</f>
        <v>2290.8571428571427</v>
      </c>
      <c r="AL10" s="501">
        <f>'[34]Laktatprofil+VO2max'!$X$10</f>
        <v>0.81047619047619024</v>
      </c>
      <c r="AM10" s="499">
        <f t="shared" si="7"/>
        <v>22.022304734464932</v>
      </c>
      <c r="AN10" s="124">
        <f>AF10-AM10</f>
        <v>-3.5956005970356557</v>
      </c>
      <c r="AO10" t="s">
        <v>123</v>
      </c>
      <c r="AS10" s="986" t="s">
        <v>60</v>
      </c>
      <c r="AT10" s="987" t="s">
        <v>68</v>
      </c>
      <c r="AU10" s="988">
        <v>208</v>
      </c>
      <c r="AV10" s="998">
        <f t="shared" si="9"/>
        <v>0.18647782560454473</v>
      </c>
      <c r="AW10" s="999">
        <f t="shared" si="10"/>
        <v>0.97372847830475306</v>
      </c>
      <c r="AX10" s="994"/>
      <c r="AY10" s="32" t="s">
        <v>61</v>
      </c>
      <c r="AZ10" s="121" t="s">
        <v>70</v>
      </c>
      <c r="BA10" s="988"/>
      <c r="BB10" s="998">
        <f t="shared" si="0"/>
        <v>-0.30614234365933513</v>
      </c>
      <c r="BC10" s="999"/>
    </row>
    <row r="11" spans="1:56" ht="16" thickBot="1">
      <c r="B11" s="32" t="s">
        <v>60</v>
      </c>
      <c r="C11" s="121" t="s">
        <v>71</v>
      </c>
      <c r="D11" s="147">
        <f>'[14]Lode 60+20min'!$C$42</f>
        <v>232</v>
      </c>
      <c r="E11" s="151">
        <f>'[14]VO2 60+20min'!$K$10</f>
        <v>3276.6511475409839</v>
      </c>
      <c r="F11" s="151">
        <f>'[14]VO2 60+20min'!$L$10</f>
        <v>3480.5013114754101</v>
      </c>
      <c r="G11" s="152">
        <f>'[14]VO2 60+20min'!$Q$10</f>
        <v>0.85278688524590207</v>
      </c>
      <c r="H11" s="153">
        <f>'[14]VO2 60+20min'!$R$10</f>
        <v>0.86803278688524632</v>
      </c>
      <c r="I11" s="159">
        <f t="shared" si="1"/>
        <v>20.212880579315126</v>
      </c>
      <c r="J11" s="159">
        <f t="shared" si="2"/>
        <v>18.962453258392443</v>
      </c>
      <c r="L11" s="32" t="s">
        <v>60</v>
      </c>
      <c r="M11" s="133" t="s">
        <v>71</v>
      </c>
      <c r="N11" s="123">
        <v>225</v>
      </c>
      <c r="O11" s="144">
        <f>'[14]CORRECTED Laktatprofil+VO2max'!$V$11</f>
        <v>3334.3930769230769</v>
      </c>
      <c r="P11" s="145">
        <f>'[14]CORRECTED Laktatprofil+VO2max'!$X$11</f>
        <v>0.9276923076923077</v>
      </c>
      <c r="Q11" s="144">
        <f t="shared" si="3"/>
        <v>18.936889588527535</v>
      </c>
      <c r="R11" s="124">
        <f t="shared" si="4"/>
        <v>2.5563669864908434E-2</v>
      </c>
      <c r="U11" s="305"/>
      <c r="X11" s="53" t="s">
        <v>61</v>
      </c>
      <c r="Y11" s="121" t="s">
        <v>74</v>
      </c>
      <c r="Z11" s="123">
        <f>'[15]Lode 60+20min'!$C$17</f>
        <v>203</v>
      </c>
      <c r="AA11" s="311">
        <f>'[15]VO2 60+20min'!$K$9</f>
        <v>3194.9268852459018</v>
      </c>
      <c r="AB11" s="287">
        <f>'[15]VO2 60+20min'!$L$9</f>
        <v>3296.3396491228073</v>
      </c>
      <c r="AC11" s="288">
        <f>'[15]VO2 60+20min'!$Q$9</f>
        <v>0.86475409836065553</v>
      </c>
      <c r="AD11" s="288">
        <f>'[15]VO2 60+20min'!$R$9</f>
        <v>0.85526315789473695</v>
      </c>
      <c r="AE11" s="289">
        <f t="shared" si="5"/>
        <v>18.088824100702066</v>
      </c>
      <c r="AF11" s="289">
        <f t="shared" si="6"/>
        <v>17.570613694815282</v>
      </c>
      <c r="AG11" s="286"/>
      <c r="AH11" s="310" t="s">
        <v>61</v>
      </c>
      <c r="AI11" s="307" t="s">
        <v>74</v>
      </c>
      <c r="AJ11" s="123">
        <v>225</v>
      </c>
      <c r="AK11" s="170">
        <f>'[15]CORRECTED Laktatprofil+VO2max'!$V$11</f>
        <v>3461.2533333333336</v>
      </c>
      <c r="AL11" s="172">
        <f>'[15]CORRECTED Laktatprofil+VO2max'!$X$11</f>
        <v>0.93500000000000005</v>
      </c>
      <c r="AM11" s="160">
        <f t="shared" si="7"/>
        <v>18.212694000147781</v>
      </c>
      <c r="AN11" s="124">
        <f t="shared" si="8"/>
        <v>-0.64208030533249882</v>
      </c>
      <c r="AS11" s="986" t="s">
        <v>60</v>
      </c>
      <c r="AT11" s="987" t="s">
        <v>71</v>
      </c>
      <c r="AU11" s="988">
        <v>232</v>
      </c>
      <c r="AV11" s="998">
        <f t="shared" si="9"/>
        <v>2.5563669864908434E-2</v>
      </c>
      <c r="AW11" s="999">
        <f t="shared" si="10"/>
        <v>0.13499402710989863</v>
      </c>
      <c r="AX11" s="994"/>
      <c r="AY11" s="53" t="s">
        <v>61</v>
      </c>
      <c r="AZ11" s="121" t="s">
        <v>74</v>
      </c>
      <c r="BA11" s="988"/>
      <c r="BB11" s="998">
        <f t="shared" si="0"/>
        <v>-0.11386395035047769</v>
      </c>
      <c r="BC11" s="999"/>
    </row>
    <row r="12" spans="1:56" ht="16" thickBot="1">
      <c r="B12" s="32" t="s">
        <v>60</v>
      </c>
      <c r="C12" s="121" t="s">
        <v>72</v>
      </c>
      <c r="D12" s="147">
        <f>'[16]Lode 60+20min'!$C$26</f>
        <v>210</v>
      </c>
      <c r="E12" s="146">
        <f>'[16]VO2 60+20min'!$K$9</f>
        <v>3098.4698305084748</v>
      </c>
      <c r="F12" s="146">
        <f>'[16]VO2 60+20min'!$L$9</f>
        <v>3265.2593333333334</v>
      </c>
      <c r="G12" s="152">
        <f>'[16]VO2 60+20min'!$Q$9</f>
        <v>0.78118644067796639</v>
      </c>
      <c r="H12" s="153">
        <f>'[16]VO2 60+20min'!$R$9</f>
        <v>0.76383333333333359</v>
      </c>
      <c r="I12" s="159">
        <f t="shared" si="1"/>
        <v>19.67265596346067</v>
      </c>
      <c r="J12" s="159">
        <f t="shared" si="2"/>
        <v>18.743935690650279</v>
      </c>
      <c r="K12" s="7"/>
      <c r="L12" s="32" t="s">
        <v>60</v>
      </c>
      <c r="M12" s="133" t="s">
        <v>72</v>
      </c>
      <c r="N12" s="123">
        <v>225</v>
      </c>
      <c r="O12" s="144">
        <f>'[16]CORRECTED Laktatprofil+VO2max'!$V$11</f>
        <v>3250.4458333333337</v>
      </c>
      <c r="P12" s="145">
        <f>'[16]CORRECTED Laktatprofil+VO2max'!$X$11</f>
        <v>0.91375000000000028</v>
      </c>
      <c r="Q12" s="144">
        <f t="shared" si="3"/>
        <v>19.487468226552807</v>
      </c>
      <c r="R12" s="124">
        <f t="shared" si="4"/>
        <v>-0.74353253590252777</v>
      </c>
      <c r="U12" s="305"/>
      <c r="X12" s="26"/>
      <c r="Y12" s="16" t="s">
        <v>76</v>
      </c>
      <c r="Z12" s="275">
        <f>AVERAGE(Z5:Z11)</f>
        <v>227.42857142857142</v>
      </c>
      <c r="AA12" s="275">
        <f t="shared" ref="AA12:AE12" si="11">AVERAGE(AA5:AA11)</f>
        <v>3281.9032081056466</v>
      </c>
      <c r="AB12" s="275">
        <f t="shared" si="11"/>
        <v>3417.3002883222639</v>
      </c>
      <c r="AC12" s="124">
        <f t="shared" si="11"/>
        <v>0.85065706587735257</v>
      </c>
      <c r="AD12" s="176">
        <f>AVERAGE(AD5:AD7,AD9:AD11)</f>
        <v>0.85965344879292271</v>
      </c>
      <c r="AE12" s="124">
        <f t="shared" si="11"/>
        <v>19.332635677178011</v>
      </c>
      <c r="AF12" s="821">
        <f>AVERAGE(AF5:AF11)</f>
        <v>18.935983628380832</v>
      </c>
      <c r="AI12" s="16" t="s">
        <v>76</v>
      </c>
      <c r="AJ12" s="275">
        <f>AVERAGE(AJ5:AJ11)</f>
        <v>225</v>
      </c>
      <c r="AK12" s="275">
        <f t="shared" ref="AK12:AL12" si="12">AVERAGE(AK5:AK11)</f>
        <v>3195.7342605737945</v>
      </c>
      <c r="AL12" s="275">
        <f t="shared" si="12"/>
        <v>0.90109693877551023</v>
      </c>
      <c r="AM12" s="821">
        <f>AVERAGE(AM5:AM11)</f>
        <v>19.89704324292385</v>
      </c>
      <c r="AN12" s="275">
        <f>AVERAGE(AN5:AN11)</f>
        <v>-0.96105961454301947</v>
      </c>
      <c r="AS12" s="986" t="s">
        <v>60</v>
      </c>
      <c r="AT12" s="987" t="s">
        <v>72</v>
      </c>
      <c r="AU12" s="988">
        <v>210</v>
      </c>
      <c r="AV12" s="998">
        <f t="shared" si="9"/>
        <v>-0.74353253590252777</v>
      </c>
      <c r="AW12" s="999">
        <f t="shared" si="10"/>
        <v>-3.8154393749795652</v>
      </c>
      <c r="AX12" s="994"/>
      <c r="AY12" s="1004"/>
      <c r="AZ12" s="1005" t="s">
        <v>76</v>
      </c>
      <c r="BA12" s="1006"/>
      <c r="BB12" s="275">
        <f>AVERAGE(BB7:BB11)</f>
        <v>-0.55145291195568047</v>
      </c>
      <c r="BC12" s="275" t="e">
        <f>AVERAGE(BC7:BC11)</f>
        <v>#DIV/0!</v>
      </c>
      <c r="BD12" s="18"/>
    </row>
    <row r="13" spans="1:56" ht="16" thickBot="1">
      <c r="B13" s="53" t="s">
        <v>60</v>
      </c>
      <c r="C13" s="121" t="s">
        <v>73</v>
      </c>
      <c r="D13" s="147">
        <f>'[17]Lode 60+20min'!$C$17</f>
        <v>218</v>
      </c>
      <c r="E13" s="378"/>
      <c r="F13" s="378"/>
      <c r="G13" s="378"/>
      <c r="H13" s="378"/>
      <c r="I13" s="378"/>
      <c r="J13" s="378"/>
      <c r="K13" s="7" t="s">
        <v>112</v>
      </c>
      <c r="L13" s="53" t="s">
        <v>60</v>
      </c>
      <c r="M13" s="133" t="s">
        <v>73</v>
      </c>
      <c r="N13" s="123">
        <v>225</v>
      </c>
      <c r="O13" s="144">
        <f>'[17]Laktatprofil+VO2max'!$V$11</f>
        <v>3170.7524137931036</v>
      </c>
      <c r="P13" s="145">
        <f>'[17]Laktatprofil+VO2max'!$X$11</f>
        <v>0.88482758620689661</v>
      </c>
      <c r="Q13" s="144">
        <f t="shared" si="3"/>
        <v>20.109346217538928</v>
      </c>
      <c r="R13" s="124"/>
      <c r="U13" s="305"/>
      <c r="X13" s="26"/>
      <c r="Y13" s="16" t="s">
        <v>13</v>
      </c>
      <c r="Z13" s="275">
        <f>STDEVA(Z5:Z11)</f>
        <v>39.1699593347467</v>
      </c>
      <c r="AA13" s="275">
        <f>STDEVA(AA5:AA11)</f>
        <v>481.53390018181136</v>
      </c>
      <c r="AB13" s="275">
        <f t="shared" ref="AB13:AC13" si="13">STDEVA(AB5:AB11)</f>
        <v>516.67117345040208</v>
      </c>
      <c r="AC13" s="124">
        <f t="shared" si="13"/>
        <v>3.5752168339380101E-2</v>
      </c>
      <c r="AD13" s="124">
        <f>STDEVA(AD5:AD7,AD9:AD11)</f>
        <v>3.3598079858060917E-2</v>
      </c>
      <c r="AE13" s="124">
        <f>STDEVA(AE5:AE11)</f>
        <v>1.1036496624381662</v>
      </c>
      <c r="AF13" s="821">
        <f>STDEVA(AF5:AF11)</f>
        <v>1.3528170320875095</v>
      </c>
      <c r="AI13" s="16" t="s">
        <v>13</v>
      </c>
      <c r="AJ13" s="275">
        <f>STDEVA(AJ5:AJ11)</f>
        <v>40.824829046386306</v>
      </c>
      <c r="AK13" s="275">
        <f t="shared" ref="AK13:AL13" si="14">STDEVA(AK5:AK11)</f>
        <v>534.27839296486025</v>
      </c>
      <c r="AL13" s="275">
        <f t="shared" si="14"/>
        <v>5.0349846758665585E-2</v>
      </c>
      <c r="AM13" s="821">
        <f>STDEVA(AM5:AM11)</f>
        <v>1.4683689186852407</v>
      </c>
      <c r="AN13" s="275">
        <f>STDEVA(AN5:AN11)</f>
        <v>1.6870104825879364</v>
      </c>
      <c r="AS13" s="991" t="s">
        <v>60</v>
      </c>
      <c r="AT13" s="987" t="s">
        <v>73</v>
      </c>
      <c r="AU13" s="988">
        <v>218</v>
      </c>
      <c r="AV13" s="1000"/>
      <c r="AW13" s="1001"/>
      <c r="AX13" s="995"/>
      <c r="AY13" s="1004"/>
      <c r="AZ13" s="1005" t="s">
        <v>13</v>
      </c>
      <c r="BA13" s="1006"/>
      <c r="BB13" s="275">
        <f>STDEVA(BB7:BB11)</f>
        <v>1.1314340748175298</v>
      </c>
      <c r="BC13" s="275" t="e">
        <f>STDEVA(BC7:BC11)</f>
        <v>#DIV/0!</v>
      </c>
      <c r="BD13" s="18"/>
    </row>
    <row r="14" spans="1:56">
      <c r="B14" s="119"/>
      <c r="C14" s="16" t="s">
        <v>76</v>
      </c>
      <c r="D14" s="124">
        <f>AVERAGE(D5:D13)</f>
        <v>215.44444444444446</v>
      </c>
      <c r="E14" s="124">
        <f>AVERAGE(E5:E12)</f>
        <v>3111.9080347384302</v>
      </c>
      <c r="F14" s="124">
        <f t="shared" ref="F14:I14" si="15">AVERAGE(F5:F12)</f>
        <v>3245.7517635538707</v>
      </c>
      <c r="G14" s="124">
        <f t="shared" si="15"/>
        <v>0.84367374907381676</v>
      </c>
      <c r="H14" s="124">
        <f t="shared" si="15"/>
        <v>0.84202032351967759</v>
      </c>
      <c r="I14" s="275">
        <f t="shared" si="15"/>
        <v>19.428882672350944</v>
      </c>
      <c r="J14" s="821">
        <f>AVERAGE(J5:J12)</f>
        <v>18.976378711375553</v>
      </c>
      <c r="K14" s="12"/>
      <c r="L14" s="119"/>
      <c r="M14" s="16" t="s">
        <v>76</v>
      </c>
      <c r="N14" s="124">
        <f>AVERAGE(N5:N13)</f>
        <v>219.44444444444446</v>
      </c>
      <c r="O14" s="124">
        <f>AVERAGE(O5:O13)</f>
        <v>3237.0584562953568</v>
      </c>
      <c r="P14" s="275">
        <f t="shared" ref="P14" si="16">AVERAGE(P5:P13)</f>
        <v>0.90393739561843012</v>
      </c>
      <c r="Q14" s="821">
        <f>AVERAGE(Q5:Q13)</f>
        <v>19.099865654767839</v>
      </c>
      <c r="R14" s="275">
        <f t="shared" ref="R14" si="17">AVERAGE(R5:R13)</f>
        <v>2.698126954101987E-3</v>
      </c>
      <c r="U14" s="305"/>
      <c r="X14" s="26"/>
      <c r="Y14" s="16" t="s">
        <v>14</v>
      </c>
      <c r="Z14" s="275">
        <f>Z13/SQRT(COUNT(Z5:Z11))</f>
        <v>14.804853037750396</v>
      </c>
      <c r="AA14" s="275">
        <f t="shared" ref="AA14:AE14" si="18">AA13/SQRT(COUNT(AA5:AA11))</f>
        <v>196.58539154962097</v>
      </c>
      <c r="AB14" s="275">
        <f t="shared" si="18"/>
        <v>195.28334779224025</v>
      </c>
      <c r="AC14" s="124">
        <f t="shared" si="18"/>
        <v>1.4595761604928176E-2</v>
      </c>
      <c r="AD14" s="124">
        <f>AD13/SQRT(COUNT(AD5:AD7,AD9:AD11))</f>
        <v>1.371635866492172E-2</v>
      </c>
      <c r="AE14" s="124">
        <f t="shared" si="18"/>
        <v>0.45056308796140088</v>
      </c>
      <c r="AF14" s="124">
        <f>AF13/SQRT(COUNT(AF5:AF11))</f>
        <v>0.51131677661086239</v>
      </c>
      <c r="AI14" s="16" t="s">
        <v>14</v>
      </c>
      <c r="AJ14" s="275">
        <f>AJ13/SQRT(COUNT(AJ5:AJ11))</f>
        <v>15.430334996209192</v>
      </c>
      <c r="AK14" s="275">
        <f t="shared" ref="AK14:AM14" si="19">AK13/SQRT(COUNT(AK5:AK11))</f>
        <v>201.9382512371802</v>
      </c>
      <c r="AL14" s="275">
        <f t="shared" si="19"/>
        <v>1.9030453296234384E-2</v>
      </c>
      <c r="AM14" s="275">
        <f t="shared" si="19"/>
        <v>0.55499128453399582</v>
      </c>
      <c r="AN14" s="275">
        <f t="shared" ref="AN14" si="20">AN13/SQRT(COUNT(AN5:AN11))</f>
        <v>0.63763002801239144</v>
      </c>
      <c r="AS14" s="1004"/>
      <c r="AT14" s="1005" t="s">
        <v>76</v>
      </c>
      <c r="AU14" s="1006"/>
      <c r="AV14" s="275">
        <f>AVERAGE(AV5:AV13)</f>
        <v>2.698126954101987E-3</v>
      </c>
      <c r="AW14" s="275">
        <f>AVERAGE(AW7:AW13)</f>
        <v>-0.11173450688633542</v>
      </c>
      <c r="AX14" s="1007"/>
      <c r="AY14" s="1004"/>
      <c r="AZ14" s="1005" t="s">
        <v>14</v>
      </c>
      <c r="BA14" s="1006"/>
      <c r="BB14" s="275">
        <f>BB13/SQRT(COUNT(BB7:BB11))</f>
        <v>0.50599270067031588</v>
      </c>
      <c r="BC14" s="275" t="e">
        <f>BC13/SQRT(COUNT(BC7:BC11))</f>
        <v>#DIV/0!</v>
      </c>
      <c r="BD14" s="18"/>
    </row>
    <row r="15" spans="1:56">
      <c r="B15" s="119"/>
      <c r="C15" s="16" t="s">
        <v>13</v>
      </c>
      <c r="D15" s="124">
        <f>STDEVA(D5:D13)</f>
        <v>27.582200379552408</v>
      </c>
      <c r="E15" s="124">
        <f>STDEVA(E5:E12)</f>
        <v>395.62768922706488</v>
      </c>
      <c r="F15" s="124">
        <f t="shared" ref="F15:I15" si="21">STDEVA(F5:F12)</f>
        <v>443.69983308688938</v>
      </c>
      <c r="G15" s="124">
        <f t="shared" si="21"/>
        <v>3.2286927517611717E-2</v>
      </c>
      <c r="H15" s="124">
        <f t="shared" si="21"/>
        <v>8.6893981927606528E-2</v>
      </c>
      <c r="I15" s="275">
        <f t="shared" si="21"/>
        <v>0.55578986399508701</v>
      </c>
      <c r="J15" s="821">
        <f>STDEVA(J5:J12)</f>
        <v>0.30300678365821854</v>
      </c>
      <c r="K15" s="12"/>
      <c r="L15" s="119"/>
      <c r="M15" s="16" t="s">
        <v>13</v>
      </c>
      <c r="N15" s="124">
        <f>STDEVA(N5:N13)</f>
        <v>30.04626062886663</v>
      </c>
      <c r="O15" s="124">
        <f t="shared" ref="O15:P15" si="22">STDEVA(O5:O13)</f>
        <v>395.51222689232549</v>
      </c>
      <c r="P15" s="275">
        <f t="shared" si="22"/>
        <v>4.1211687946701395E-2</v>
      </c>
      <c r="Q15" s="821">
        <f>STDEVA(Q5:Q13)</f>
        <v>0.49937754799016887</v>
      </c>
      <c r="R15" s="275">
        <f t="shared" ref="R15" si="23">STDEVA(R5:R13)</f>
        <v>0.48832684994905301</v>
      </c>
      <c r="U15" s="305"/>
      <c r="X15" s="278"/>
      <c r="Y15" s="18"/>
      <c r="Z15" s="18"/>
      <c r="AA15" s="18"/>
      <c r="AB15" s="18"/>
      <c r="AS15" s="1004"/>
      <c r="AT15" s="1005" t="s">
        <v>13</v>
      </c>
      <c r="AU15" s="1006"/>
      <c r="AV15" s="275">
        <f>STDEVA(AV7:AV13)</f>
        <v>0.57103635088806981</v>
      </c>
      <c r="AW15" s="275">
        <f>STDEVA(AW7:AW13)</f>
        <v>3.0080649213649298</v>
      </c>
      <c r="AX15" s="1007"/>
      <c r="AY15" s="1004"/>
      <c r="AZ15" s="1005" t="s">
        <v>100</v>
      </c>
      <c r="BA15" s="1008"/>
      <c r="BB15" s="1006"/>
      <c r="BC15" s="1006"/>
      <c r="BD15" s="18"/>
    </row>
    <row r="16" spans="1:56">
      <c r="B16" s="119"/>
      <c r="C16" s="16" t="s">
        <v>14</v>
      </c>
      <c r="D16" s="124">
        <f>D15/SQRT(COUNT(D5:D13))</f>
        <v>9.1940667931841364</v>
      </c>
      <c r="E16" s="124">
        <f>E15/SQRT(COUNT(E5:E12))</f>
        <v>139.87551093881078</v>
      </c>
      <c r="F16" s="124">
        <f t="shared" ref="F16:I16" si="24">F15/SQRT(COUNT(F5:F12))</f>
        <v>156.87158039353938</v>
      </c>
      <c r="G16" s="124">
        <f t="shared" si="24"/>
        <v>1.1415152695690893E-2</v>
      </c>
      <c r="H16" s="124">
        <f t="shared" si="24"/>
        <v>3.0721661932655939E-2</v>
      </c>
      <c r="I16" s="275">
        <f t="shared" si="24"/>
        <v>0.19650139087283749</v>
      </c>
      <c r="J16" s="275">
        <f>J15/SQRT(COUNT(J5:J12))</f>
        <v>0.10712907573512573</v>
      </c>
      <c r="K16" s="12"/>
      <c r="L16" s="119"/>
      <c r="M16" s="16" t="s">
        <v>14</v>
      </c>
      <c r="N16" s="124">
        <f>N15/SQRT(COUNT(N5:N13))</f>
        <v>10.01542020962221</v>
      </c>
      <c r="O16" s="124">
        <f t="shared" ref="O16:P16" si="25">O15/SQRT(COUNT(O5:O13))</f>
        <v>131.8374089641085</v>
      </c>
      <c r="P16" s="275">
        <f t="shared" si="25"/>
        <v>1.3737229315567132E-2</v>
      </c>
      <c r="Q16" s="275">
        <f>Q15/SQRT(COUNT(Q5:Q13))</f>
        <v>0.16645918266338963</v>
      </c>
      <c r="R16" s="275">
        <f t="shared" ref="R16" si="26">R15/SQRT(COUNT(R5:R13))</f>
        <v>0.17264961351722052</v>
      </c>
      <c r="U16" s="305"/>
      <c r="X16" s="18" t="s">
        <v>173</v>
      </c>
      <c r="Y16" s="18"/>
      <c r="Z16" s="18"/>
      <c r="AA16" s="18"/>
      <c r="AB16" s="18"/>
      <c r="AF16">
        <f>TTEST(AF5:AF11,AM5:AM11,2,1)</f>
        <v>0.18247177642610815</v>
      </c>
      <c r="AS16" s="1004"/>
      <c r="AT16" s="1005" t="s">
        <v>14</v>
      </c>
      <c r="AU16" s="1006"/>
      <c r="AV16" s="275">
        <f t="shared" ref="AV16:AW16" si="27">AV15/SQRT(COUNT(AV7:AV13))</f>
        <v>0.23312461404277715</v>
      </c>
      <c r="AW16" s="275">
        <f t="shared" si="27"/>
        <v>1.2280373617515472</v>
      </c>
      <c r="AX16" s="1007"/>
      <c r="AY16" s="1004"/>
      <c r="AZ16" s="1005" t="s">
        <v>99</v>
      </c>
      <c r="BA16" s="1006"/>
      <c r="BB16" s="1006"/>
      <c r="BC16" s="1006"/>
      <c r="BD16" s="18"/>
    </row>
    <row r="17" spans="1:56">
      <c r="B17" s="875"/>
      <c r="C17" s="16" t="s">
        <v>100</v>
      </c>
      <c r="E17" s="124"/>
      <c r="F17" s="124"/>
      <c r="G17" s="124"/>
      <c r="H17" s="124"/>
      <c r="I17" s="275"/>
      <c r="J17" s="275">
        <f>SQRT((((7-1)*(AF13^2)+(8-1)*(J15^2)))/(8+7-2))</f>
        <v>0.94557167528988006</v>
      </c>
      <c r="K17" s="12"/>
      <c r="L17" s="875"/>
      <c r="M17" s="16" t="s">
        <v>100</v>
      </c>
      <c r="N17" s="124"/>
      <c r="O17" s="124"/>
      <c r="P17" s="275"/>
      <c r="Q17" s="275">
        <f>SQRT((((7-1)*(AM13^2)+(9-1)*(Q15^2)))/(9+7-2))</f>
        <v>1.0327379411634245</v>
      </c>
      <c r="R17" s="275"/>
      <c r="U17" s="305"/>
      <c r="X17" s="18"/>
      <c r="Y17" s="18"/>
      <c r="Z17" s="18"/>
      <c r="AA17" s="18"/>
      <c r="AB17" s="18"/>
      <c r="AS17" s="1004"/>
      <c r="AT17" s="1005" t="s">
        <v>100</v>
      </c>
      <c r="AU17" s="1008"/>
      <c r="AV17" s="1006"/>
      <c r="AW17" s="1006"/>
      <c r="AX17" s="1006"/>
      <c r="AY17" s="1007"/>
      <c r="AZ17" s="1007"/>
      <c r="BA17" s="863"/>
      <c r="BB17" s="18"/>
      <c r="BC17" s="18"/>
    </row>
    <row r="18" spans="1:56">
      <c r="B18" s="875"/>
      <c r="C18" s="16" t="s">
        <v>99</v>
      </c>
      <c r="D18" s="124"/>
      <c r="E18" s="124"/>
      <c r="F18" s="124"/>
      <c r="G18" s="124"/>
      <c r="H18" s="124"/>
      <c r="I18" s="275"/>
      <c r="J18" s="275">
        <f>(AF12-J14)/J17</f>
        <v>-4.2720276051349419E-2</v>
      </c>
      <c r="K18" s="12"/>
      <c r="L18" s="875"/>
      <c r="M18" s="16" t="s">
        <v>99</v>
      </c>
      <c r="N18" s="124"/>
      <c r="O18" s="124"/>
      <c r="P18" s="275"/>
      <c r="Q18" s="275">
        <f>(AM12-Q14)/Q17</f>
        <v>0.77190694403844129</v>
      </c>
      <c r="R18" s="275"/>
      <c r="U18" s="305"/>
      <c r="X18" s="18"/>
      <c r="Y18" s="18"/>
      <c r="Z18" s="18"/>
      <c r="AA18" s="18"/>
      <c r="AB18" s="18"/>
      <c r="AS18" s="1004"/>
      <c r="AT18" s="1005" t="s">
        <v>99</v>
      </c>
      <c r="AU18" s="1006"/>
      <c r="AV18" s="1006"/>
      <c r="AW18" s="1006"/>
      <c r="AX18" s="1006"/>
      <c r="AY18" s="1006"/>
      <c r="AZ18" s="1006"/>
      <c r="BA18" s="1006"/>
      <c r="BB18" s="18"/>
      <c r="BC18" s="18"/>
    </row>
    <row r="19" spans="1:56">
      <c r="G19" s="7"/>
      <c r="H19" s="51"/>
      <c r="I19" s="7"/>
      <c r="J19" s="7"/>
      <c r="K19" s="7"/>
      <c r="L19" s="7"/>
      <c r="P19" s="18"/>
      <c r="Q19" s="18"/>
      <c r="R19" s="18">
        <f>TTEST(R5:R13,AN5:AN11,2,2)</f>
        <v>0.14495694050709823</v>
      </c>
      <c r="U19" s="305"/>
      <c r="X19" s="18" t="s">
        <v>172</v>
      </c>
      <c r="Y19" s="18"/>
      <c r="Z19" s="18"/>
      <c r="AA19" s="18"/>
      <c r="AB19" s="18"/>
      <c r="AE19" s="176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6">
      <c r="B20" t="s">
        <v>117</v>
      </c>
      <c r="G20" s="7"/>
      <c r="H20" s="51"/>
      <c r="I20" s="7"/>
      <c r="J20" s="7"/>
      <c r="K20" s="7"/>
      <c r="L20" s="7"/>
      <c r="U20" s="305"/>
      <c r="X20" s="18"/>
      <c r="Y20" s="18"/>
      <c r="Z20" s="18"/>
      <c r="AA20" s="18"/>
      <c r="AB20" s="18"/>
    </row>
    <row r="21" spans="1:56" ht="16" thickBot="1">
      <c r="B21" t="s">
        <v>171</v>
      </c>
      <c r="G21" s="7"/>
      <c r="H21" s="52"/>
      <c r="I21" s="7"/>
      <c r="J21" s="7"/>
      <c r="K21" s="7"/>
      <c r="L21" s="7"/>
      <c r="U21" s="305"/>
      <c r="X21" s="18"/>
      <c r="Y21" s="18"/>
      <c r="Z21" s="18"/>
      <c r="AA21" s="18"/>
      <c r="AB21" s="18"/>
    </row>
    <row r="22" spans="1:56" ht="16" thickBot="1">
      <c r="G22" s="7"/>
      <c r="H22" s="51"/>
      <c r="I22" s="7"/>
      <c r="J22" s="7"/>
      <c r="K22" s="7"/>
      <c r="L22" s="7"/>
      <c r="U22" s="305"/>
      <c r="X22" s="18"/>
      <c r="Y22" s="18"/>
      <c r="Z22" s="18"/>
      <c r="AA22" s="18"/>
      <c r="AB22" s="18"/>
      <c r="AS22" s="1331" t="s">
        <v>50</v>
      </c>
      <c r="AT22" s="1407"/>
      <c r="AU22" s="1407"/>
      <c r="AV22" s="1407"/>
      <c r="AW22" s="1407"/>
      <c r="AX22" s="1407"/>
      <c r="AY22" s="1407"/>
      <c r="AZ22" s="1407"/>
      <c r="BA22" s="1407"/>
      <c r="BB22" s="1407"/>
      <c r="BC22" s="1332"/>
    </row>
    <row r="23" spans="1:56" ht="16" thickBot="1">
      <c r="B23" s="1331" t="s">
        <v>50</v>
      </c>
      <c r="C23" s="1332"/>
      <c r="D23" t="s">
        <v>181</v>
      </c>
      <c r="G23" s="7"/>
      <c r="H23" s="51"/>
      <c r="I23" s="7"/>
      <c r="J23" s="7"/>
      <c r="K23" s="7"/>
      <c r="L23" s="1331" t="s">
        <v>50</v>
      </c>
      <c r="M23" s="1332"/>
      <c r="N23" s="385" t="s">
        <v>180</v>
      </c>
      <c r="O23" s="385"/>
      <c r="P23" s="385"/>
      <c r="Q23" s="385"/>
      <c r="R23" s="385"/>
      <c r="U23" s="305"/>
      <c r="X23" s="1333" t="s">
        <v>50</v>
      </c>
      <c r="Y23" s="1334"/>
      <c r="Z23" s="18" t="s">
        <v>181</v>
      </c>
      <c r="AA23" s="18"/>
      <c r="AB23" s="18"/>
      <c r="AH23" s="1331" t="s">
        <v>50</v>
      </c>
      <c r="AI23" s="1332"/>
      <c r="AJ23" t="s">
        <v>180</v>
      </c>
      <c r="AS23" s="1424" t="s">
        <v>77</v>
      </c>
      <c r="AT23" s="1425"/>
      <c r="AU23" s="1428" t="s">
        <v>102</v>
      </c>
      <c r="AV23" s="1002" t="s">
        <v>225</v>
      </c>
      <c r="AW23" s="1003" t="s">
        <v>227</v>
      </c>
      <c r="AX23" s="992"/>
      <c r="AY23" s="1424" t="s">
        <v>77</v>
      </c>
      <c r="AZ23" s="1425"/>
      <c r="BA23" s="1428" t="s">
        <v>102</v>
      </c>
      <c r="BB23" s="1002" t="s">
        <v>225</v>
      </c>
      <c r="BC23" s="1003" t="s">
        <v>227</v>
      </c>
    </row>
    <row r="24" spans="1:56" ht="16" thickBot="1">
      <c r="B24" s="1335" t="s">
        <v>77</v>
      </c>
      <c r="C24" s="1337"/>
      <c r="D24" s="1339" t="s">
        <v>102</v>
      </c>
      <c r="E24" s="1341" t="s">
        <v>103</v>
      </c>
      <c r="F24" s="1341"/>
      <c r="G24" s="1342" t="s">
        <v>108</v>
      </c>
      <c r="H24" s="1343"/>
      <c r="I24" s="1345" t="s">
        <v>109</v>
      </c>
      <c r="J24" s="1346"/>
      <c r="K24" s="7"/>
      <c r="L24" s="1335" t="s">
        <v>77</v>
      </c>
      <c r="M24" s="1337"/>
      <c r="N24" s="1328" t="s">
        <v>106</v>
      </c>
      <c r="O24" s="135" t="s">
        <v>107</v>
      </c>
      <c r="P24" s="1350" t="s">
        <v>108</v>
      </c>
      <c r="Q24" s="302" t="s">
        <v>109</v>
      </c>
      <c r="R24" t="s">
        <v>206</v>
      </c>
      <c r="U24" s="305"/>
      <c r="X24" s="1344" t="s">
        <v>77</v>
      </c>
      <c r="Y24" s="1337"/>
      <c r="Z24" s="1347" t="s">
        <v>102</v>
      </c>
      <c r="AA24" s="1349" t="s">
        <v>103</v>
      </c>
      <c r="AB24" s="1349"/>
      <c r="AC24" s="1342" t="s">
        <v>108</v>
      </c>
      <c r="AD24" s="1343"/>
      <c r="AE24" s="1345" t="s">
        <v>109</v>
      </c>
      <c r="AF24" s="1346"/>
      <c r="AG24" s="7"/>
      <c r="AH24" s="1335" t="s">
        <v>77</v>
      </c>
      <c r="AI24" s="1337"/>
      <c r="AJ24" s="1328" t="s">
        <v>106</v>
      </c>
      <c r="AK24" s="138" t="s">
        <v>107</v>
      </c>
      <c r="AL24" s="1329" t="s">
        <v>108</v>
      </c>
      <c r="AM24" s="136" t="s">
        <v>109</v>
      </c>
      <c r="AN24" t="s">
        <v>206</v>
      </c>
      <c r="AS24" s="1426"/>
      <c r="AT24" s="1427"/>
      <c r="AU24" s="1429"/>
      <c r="AV24" s="874" t="s">
        <v>226</v>
      </c>
      <c r="AW24" s="874" t="s">
        <v>228</v>
      </c>
      <c r="AX24" s="993"/>
      <c r="AY24" s="1424"/>
      <c r="AZ24" s="1425"/>
      <c r="BA24" s="1428"/>
      <c r="BB24" s="874" t="s">
        <v>226</v>
      </c>
      <c r="BC24" s="874" t="s">
        <v>228</v>
      </c>
    </row>
    <row r="25" spans="1:56" ht="16" thickBot="1">
      <c r="B25" s="1336"/>
      <c r="C25" s="1338"/>
      <c r="D25" s="1340"/>
      <c r="E25" s="149" t="s">
        <v>104</v>
      </c>
      <c r="F25" s="149" t="s">
        <v>105</v>
      </c>
      <c r="G25" s="150" t="s">
        <v>113</v>
      </c>
      <c r="H25" s="7" t="s">
        <v>114</v>
      </c>
      <c r="I25" s="161" t="s">
        <v>113</v>
      </c>
      <c r="J25" s="162" t="s">
        <v>114</v>
      </c>
      <c r="K25" s="7"/>
      <c r="L25" s="1336"/>
      <c r="M25" s="1338"/>
      <c r="N25" s="1328"/>
      <c r="O25" s="100" t="s">
        <v>42</v>
      </c>
      <c r="P25" s="1457"/>
      <c r="Q25" s="302" t="s">
        <v>36</v>
      </c>
      <c r="R25" t="s">
        <v>207</v>
      </c>
      <c r="U25" s="305"/>
      <c r="X25" s="1336"/>
      <c r="Y25" s="1338"/>
      <c r="Z25" s="1348"/>
      <c r="AA25" s="139" t="s">
        <v>104</v>
      </c>
      <c r="AB25" s="139" t="s">
        <v>105</v>
      </c>
      <c r="AC25" s="150" t="s">
        <v>113</v>
      </c>
      <c r="AD25" s="7" t="s">
        <v>114</v>
      </c>
      <c r="AE25" s="161" t="s">
        <v>113</v>
      </c>
      <c r="AF25" s="162" t="s">
        <v>114</v>
      </c>
      <c r="AG25" s="137"/>
      <c r="AH25" s="1335"/>
      <c r="AI25" s="1338"/>
      <c r="AJ25" s="1328"/>
      <c r="AK25" s="139" t="s">
        <v>42</v>
      </c>
      <c r="AL25" s="1330"/>
      <c r="AM25" s="136" t="s">
        <v>36</v>
      </c>
      <c r="AN25" t="s">
        <v>207</v>
      </c>
      <c r="AS25" s="986" t="s">
        <v>60</v>
      </c>
      <c r="AT25" s="987" t="s">
        <v>57</v>
      </c>
      <c r="AU25" s="988">
        <v>239</v>
      </c>
      <c r="AV25" s="997">
        <f>J26-Q26</f>
        <v>0.18375854788675383</v>
      </c>
      <c r="AW25" s="996"/>
      <c r="AX25" s="994"/>
      <c r="AY25" s="89" t="s">
        <v>61</v>
      </c>
      <c r="AZ25" s="121" t="s">
        <v>58</v>
      </c>
      <c r="BA25" s="1009"/>
      <c r="BB25" s="997">
        <f>AF26-AM26</f>
        <v>-1.2628049485316346</v>
      </c>
      <c r="BC25" s="996"/>
    </row>
    <row r="26" spans="1:56" ht="16" thickBot="1">
      <c r="B26" s="32" t="s">
        <v>60</v>
      </c>
      <c r="C26" s="121" t="s">
        <v>57</v>
      </c>
      <c r="D26" s="147">
        <f>'[1]Lode 60+20min'!$C$20</f>
        <v>239</v>
      </c>
      <c r="E26" s="164">
        <f>'[18]VO2 60+20min'!$K$4</f>
        <v>3583.622950819672</v>
      </c>
      <c r="F26" s="164">
        <f>'[18]VO2 60+20min'!$L$4</f>
        <v>3589.7301587301586</v>
      </c>
      <c r="G26" s="165">
        <f>'[18]VO2 60+20min'!$Q$4</f>
        <v>0.82491803278688547</v>
      </c>
      <c r="H26" s="165">
        <f>'[18]VO2 60+20min'!$R$4</f>
        <v>0.87380952380952404</v>
      </c>
      <c r="I26" s="166">
        <f>D26/((E26/60000)*(4840*G26+16890))*100</f>
        <v>19.162060369323143</v>
      </c>
      <c r="J26" s="166">
        <f>D26/((F26/60000)*(4840*H26+16890))*100</f>
        <v>18.91512001505793</v>
      </c>
      <c r="K26" s="7"/>
      <c r="L26" s="32" t="s">
        <v>60</v>
      </c>
      <c r="M26" s="133" t="s">
        <v>57</v>
      </c>
      <c r="N26" s="386">
        <v>225</v>
      </c>
      <c r="O26">
        <v>3431</v>
      </c>
      <c r="P26" s="531">
        <v>0.85041666666666671</v>
      </c>
      <c r="Q26" s="159">
        <f>N26/((O26/60000)*(4840*P26+16890))*100</f>
        <v>18.731361467171176</v>
      </c>
      <c r="R26" s="124">
        <f>J26-Q26</f>
        <v>0.18375854788675383</v>
      </c>
      <c r="U26" s="305"/>
      <c r="X26" s="89" t="s">
        <v>61</v>
      </c>
      <c r="Y26" s="121" t="s">
        <v>58</v>
      </c>
      <c r="Z26" s="123">
        <f>Z5</f>
        <v>221</v>
      </c>
      <c r="AA26" s="129">
        <f>'[19]VO2 60+20min'!$K$4</f>
        <v>3475.2711864406779</v>
      </c>
      <c r="AB26" s="130">
        <f>'[19]VO2 60+20min'!$L$4</f>
        <v>3494.5535714285716</v>
      </c>
      <c r="AC26" s="169">
        <f>'[19]VO2 60+20min'!$Q$4</f>
        <v>0.83288135593220369</v>
      </c>
      <c r="AD26" s="169">
        <f>'[19]VO2 60+20min'!$R$4</f>
        <v>0.87821428571428561</v>
      </c>
      <c r="AE26" s="171">
        <f>Z26/((AA26/60000)*(4840*AC26+16890))*100</f>
        <v>18.237670251367945</v>
      </c>
      <c r="AF26" s="171">
        <f>Z26/((AB26/60000)*(4840*AD26+16890))*100</f>
        <v>17.948798947769053</v>
      </c>
      <c r="AG26" s="137"/>
      <c r="AH26" s="308" t="s">
        <v>61</v>
      </c>
      <c r="AI26" s="307" t="s">
        <v>58</v>
      </c>
      <c r="AJ26" s="123">
        <v>225</v>
      </c>
      <c r="AK26" s="140">
        <f>'[19]Laktatprofil+VO2max'!$V$11</f>
        <v>3317.0384615384614</v>
      </c>
      <c r="AL26" s="141">
        <f>'[19]Laktatprofil+VO2max'!$X$11</f>
        <v>0.88730769230769246</v>
      </c>
      <c r="AM26" s="174">
        <f>AJ26/((AK26/60000)*(4840*AL26+16890))*100</f>
        <v>19.211603896300687</v>
      </c>
      <c r="AN26" s="124">
        <f>AF26-AM26</f>
        <v>-1.2628049485316346</v>
      </c>
      <c r="AS26" s="986" t="s">
        <v>60</v>
      </c>
      <c r="AT26" s="989" t="s">
        <v>59</v>
      </c>
      <c r="AU26" s="990">
        <v>222</v>
      </c>
      <c r="AV26" s="998">
        <f t="shared" ref="AV26:AV33" si="28">J27-Q27</f>
        <v>-0.3630841277850152</v>
      </c>
      <c r="AW26" s="999"/>
      <c r="AX26" s="994"/>
      <c r="AY26" s="32" t="s">
        <v>61</v>
      </c>
      <c r="AZ26" s="121" t="s">
        <v>63</v>
      </c>
      <c r="BA26" s="990"/>
      <c r="BB26" s="998">
        <f t="shared" ref="BB26:BB31" si="29">AF27-AM27</f>
        <v>-0.13616667741415256</v>
      </c>
      <c r="BC26" s="999"/>
    </row>
    <row r="27" spans="1:56" ht="16" thickBot="1">
      <c r="B27" s="32" t="s">
        <v>60</v>
      </c>
      <c r="C27" s="122" t="s">
        <v>59</v>
      </c>
      <c r="D27" s="148">
        <f>'[3]Lode 60+20min'!$C$28</f>
        <v>222</v>
      </c>
      <c r="E27" s="167">
        <f>'[20]VO2 60+20min'!$K$4</f>
        <v>3390.2372881355932</v>
      </c>
      <c r="F27" s="167">
        <f>'[20]VO2 60+20min'!$L$4</f>
        <v>3467.3653846153848</v>
      </c>
      <c r="G27" s="165">
        <f>'[20]VO2 60+20min'!$Q$4</f>
        <v>0.85220338983050847</v>
      </c>
      <c r="H27" s="165">
        <f>'[20]VO2 60+20min'!$R$4</f>
        <v>0.87961538461538524</v>
      </c>
      <c r="I27" s="166">
        <f t="shared" ref="I27:I34" si="30">D27/((E27/60000)*(4840*G27+16890))*100</f>
        <v>18.696127868256781</v>
      </c>
      <c r="J27" s="166">
        <f t="shared" ref="J27:J34" si="31">D27/((F27/60000)*(4840*H27+16890))*100</f>
        <v>18.165564549561957</v>
      </c>
      <c r="K27" s="7"/>
      <c r="L27" s="32" t="s">
        <v>60</v>
      </c>
      <c r="M27" s="134" t="s">
        <v>59</v>
      </c>
      <c r="N27" s="147">
        <v>225</v>
      </c>
      <c r="O27" s="167">
        <f>'[3]Laktatprofil+VO2max'!$V$11</f>
        <v>3423.8333333333335</v>
      </c>
      <c r="P27" s="165">
        <f>'[3]Laktatprofil+VO2max'!$X$11</f>
        <v>0.90708333333333357</v>
      </c>
      <c r="Q27" s="160">
        <f t="shared" ref="Q27:Q34" si="32">N27/((O27/60000)*(4840*P27+16890))*100</f>
        <v>18.528648677346972</v>
      </c>
      <c r="R27" s="124">
        <f t="shared" ref="R27:R34" si="33">J27-Q27</f>
        <v>-0.3630841277850152</v>
      </c>
      <c r="U27" s="305"/>
      <c r="X27" s="32" t="s">
        <v>61</v>
      </c>
      <c r="Y27" s="121" t="s">
        <v>63</v>
      </c>
      <c r="Z27" s="123">
        <f>'[4]Lode 60+20min'!$C$13</f>
        <v>197</v>
      </c>
      <c r="AA27" s="131">
        <f>'[21]VO2 60+20min'!$K$4</f>
        <v>3043.4791666666665</v>
      </c>
      <c r="AB27" s="126">
        <f>'[21]VO2 60+20min'!$L$4</f>
        <v>3103.6346153846152</v>
      </c>
      <c r="AC27" s="169">
        <f>'[21]VO2 60+20min'!$Q$4</f>
        <v>0.85416666666666696</v>
      </c>
      <c r="AD27" s="169">
        <f>'[21]VO2 60+20min'!$R$4</f>
        <v>0.88639999999999997</v>
      </c>
      <c r="AE27" s="171">
        <f t="shared" ref="AE27:AE32" si="34">Z27/((AA27/60000)*(4840*AC27+16890))*100</f>
        <v>18.472613880125014</v>
      </c>
      <c r="AF27" s="171">
        <f t="shared" ref="AF27:AF32" si="35">Z27/((AB27/60000)*(4840*AD27+16890))*100</f>
        <v>17.981144243716614</v>
      </c>
      <c r="AG27" s="143"/>
      <c r="AH27" s="309" t="s">
        <v>61</v>
      </c>
      <c r="AI27" s="307" t="s">
        <v>63</v>
      </c>
      <c r="AJ27" s="123">
        <v>175</v>
      </c>
      <c r="AK27" s="500">
        <f>'[21]Laktatprofil+VO2max'!$V$10</f>
        <v>2725.25</v>
      </c>
      <c r="AL27" s="502">
        <f>'[21]Laktatprofil+VO2max'!$X$10</f>
        <v>0.90416666666666679</v>
      </c>
      <c r="AM27" s="503">
        <f t="shared" ref="AM27:AM32" si="36">AJ27/((AK27/60000)*(4840*AL27+16890))*100</f>
        <v>18.117310921130766</v>
      </c>
      <c r="AN27" s="124">
        <f t="shared" ref="AN27:AN32" si="37">AF27-AM27</f>
        <v>-0.13616667741415256</v>
      </c>
      <c r="AS27" s="986" t="s">
        <v>60</v>
      </c>
      <c r="AT27" s="987" t="s">
        <v>62</v>
      </c>
      <c r="AU27" s="988">
        <v>186</v>
      </c>
      <c r="AV27" s="998">
        <f t="shared" si="28"/>
        <v>1.1449860231294657</v>
      </c>
      <c r="AW27" s="999"/>
      <c r="AX27" s="994"/>
      <c r="AY27" s="32" t="s">
        <v>61</v>
      </c>
      <c r="AZ27" s="121" t="s">
        <v>65</v>
      </c>
      <c r="BA27" s="988"/>
      <c r="BB27" s="998">
        <f t="shared" si="29"/>
        <v>-1.9826670017000545</v>
      </c>
      <c r="BC27" s="999"/>
    </row>
    <row r="28" spans="1:56" ht="16" thickBot="1">
      <c r="B28" s="32" t="s">
        <v>60</v>
      </c>
      <c r="C28" s="121" t="s">
        <v>62</v>
      </c>
      <c r="D28" s="147">
        <f>'[5]Lode 60+20min'!$C$32</f>
        <v>186</v>
      </c>
      <c r="E28" s="164">
        <f>'[22]VO2 60+20min 20.10.18'!$K$4</f>
        <v>2473.6666666666665</v>
      </c>
      <c r="F28" s="164">
        <f>'[22]VO2 60+20min 20.10.18'!$L$4</f>
        <v>2575.1153846153848</v>
      </c>
      <c r="G28" s="165">
        <f>'[22]VO2 60+20min 20.10.18'!$Q$4</f>
        <v>0.8822916666666667</v>
      </c>
      <c r="H28" s="165">
        <f>'[22]VO2 60+20min 20.10.18'!$R$4</f>
        <v>0.89939999999999998</v>
      </c>
      <c r="I28" s="166">
        <f t="shared" si="30"/>
        <v>21.32069552431739</v>
      </c>
      <c r="J28" s="530">
        <f t="shared" si="31"/>
        <v>20.400917020126606</v>
      </c>
      <c r="K28" s="7" t="s">
        <v>112</v>
      </c>
      <c r="L28" s="32" t="s">
        <v>60</v>
      </c>
      <c r="M28" s="133" t="s">
        <v>62</v>
      </c>
      <c r="N28" s="147">
        <v>175</v>
      </c>
      <c r="O28" s="497">
        <f>'[22]Laktatprofil+VO2max 19.10.18'!$V$10</f>
        <v>2569.7083333333335</v>
      </c>
      <c r="P28" s="498">
        <f>'[22]Laktatprofil+VO2max 19.10.18'!$X$10</f>
        <v>0.8945833333333334</v>
      </c>
      <c r="Q28" s="499">
        <f t="shared" si="32"/>
        <v>19.25593099699714</v>
      </c>
      <c r="R28" s="124">
        <f t="shared" si="33"/>
        <v>1.1449860231294657</v>
      </c>
      <c r="S28" t="s">
        <v>112</v>
      </c>
      <c r="U28" s="305"/>
      <c r="X28" s="32" t="s">
        <v>61</v>
      </c>
      <c r="Y28" s="121" t="s">
        <v>65</v>
      </c>
      <c r="Z28" s="123">
        <f>'[6]Lode 60+20min'!$C$70</f>
        <v>285</v>
      </c>
      <c r="AA28" s="311">
        <f>'[23]VO2 60+20min'!$K$4</f>
        <v>4217.5573770491801</v>
      </c>
      <c r="AB28" s="287">
        <f>'[23]VO2 60+20min'!$L$4</f>
        <v>4431.1451612903229</v>
      </c>
      <c r="AC28" s="288">
        <f>'[23]VO2 60+20min'!$Q$4</f>
        <v>0.89285714285714302</v>
      </c>
      <c r="AD28" s="288">
        <f>'[23]VO2 60+20min'!$R$4</f>
        <v>0.87793650793650813</v>
      </c>
      <c r="AE28" s="289">
        <f t="shared" si="34"/>
        <v>19.114599019362245</v>
      </c>
      <c r="AF28" s="289">
        <f t="shared" si="35"/>
        <v>18.255398781896233</v>
      </c>
      <c r="AG28" s="504"/>
      <c r="AH28" s="309" t="s">
        <v>61</v>
      </c>
      <c r="AI28" s="307" t="s">
        <v>65</v>
      </c>
      <c r="AJ28" s="123">
        <v>275</v>
      </c>
      <c r="AK28" s="500">
        <f>'[23]Laktatprofil+VO2max'!$V$12</f>
        <v>3810.608695652174</v>
      </c>
      <c r="AL28" s="502">
        <f>'[23]Laktatprofil+VO2max'!$X$12</f>
        <v>0.9308695652173915</v>
      </c>
      <c r="AM28" s="174">
        <f t="shared" si="36"/>
        <v>20.238065783596287</v>
      </c>
      <c r="AN28" s="124">
        <f t="shared" si="37"/>
        <v>-1.9826670017000545</v>
      </c>
      <c r="AS28" s="986" t="s">
        <v>60</v>
      </c>
      <c r="AT28" s="987" t="s">
        <v>64</v>
      </c>
      <c r="AU28" s="988">
        <v>166</v>
      </c>
      <c r="AV28" s="998">
        <f t="shared" si="28"/>
        <v>-0.14310170984346371</v>
      </c>
      <c r="AW28" s="999"/>
      <c r="AX28" s="994"/>
      <c r="AY28" s="33" t="s">
        <v>61</v>
      </c>
      <c r="AZ28" s="121" t="s">
        <v>66</v>
      </c>
      <c r="BA28" s="988"/>
      <c r="BB28" s="998">
        <f t="shared" si="29"/>
        <v>-1.3043603545495728</v>
      </c>
      <c r="BC28" s="999"/>
    </row>
    <row r="29" spans="1:56" ht="16" thickBot="1">
      <c r="B29" s="32" t="s">
        <v>60</v>
      </c>
      <c r="C29" s="121" t="s">
        <v>64</v>
      </c>
      <c r="D29" s="147">
        <f>'[7]Lode 60+20min'!$C$29</f>
        <v>166</v>
      </c>
      <c r="E29" s="164">
        <f>'[24]VO2 60+20min'!$K$4</f>
        <v>2559</v>
      </c>
      <c r="F29" s="164">
        <f>'[24]VO2 60+20min'!$L$4</f>
        <v>2525.6730769230771</v>
      </c>
      <c r="G29" s="165">
        <f>'[24]VO2 60+20min'!$Q$4</f>
        <v>0.83458333333333357</v>
      </c>
      <c r="H29" s="165">
        <f>'[24]VO2 60+20min'!$R$4</f>
        <v>0.88379999999999992</v>
      </c>
      <c r="I29" s="166">
        <f t="shared" si="30"/>
        <v>18.596560191460696</v>
      </c>
      <c r="J29" s="166">
        <f t="shared" si="31"/>
        <v>18.629909604431312</v>
      </c>
      <c r="K29" s="7"/>
      <c r="L29" s="32" t="s">
        <v>60</v>
      </c>
      <c r="M29" s="133" t="s">
        <v>64</v>
      </c>
      <c r="N29" s="147">
        <v>175</v>
      </c>
      <c r="O29" s="497">
        <f>'[24]Laktatprofil+VO2max'!$V$10</f>
        <v>2616.4166666666665</v>
      </c>
      <c r="P29" s="498">
        <f>'[24]Laktatprofil+VO2max'!$X$10</f>
        <v>0.92708333333333348</v>
      </c>
      <c r="Q29" s="499">
        <f t="shared" si="32"/>
        <v>18.773011314274775</v>
      </c>
      <c r="R29" s="124">
        <f t="shared" si="33"/>
        <v>-0.14310170984346371</v>
      </c>
      <c r="U29" s="305"/>
      <c r="W29" s="286">
        <v>315</v>
      </c>
      <c r="X29" s="33" t="s">
        <v>61</v>
      </c>
      <c r="Y29" s="121" t="s">
        <v>66</v>
      </c>
      <c r="Z29" s="123">
        <f>'[8]Lode 60+20min'!$C$6856</f>
        <v>264</v>
      </c>
      <c r="AA29" s="311">
        <f>'[25]VO2 60+20min'!$K$4</f>
        <v>4494.0357142857147</v>
      </c>
      <c r="AB29" s="287">
        <f>'[25]VO2 60+20min'!$L$4</f>
        <v>4122.3064516129034</v>
      </c>
      <c r="AC29" s="288">
        <f>'[25]VO2 60+20min'!$Q$4</f>
        <v>0.91104166666666642</v>
      </c>
      <c r="AD29" s="288">
        <f>'[25]VO2 60+20min'!$R$4</f>
        <v>0.8959999999999998</v>
      </c>
      <c r="AE29" s="289">
        <f>W29/((AA29/60000)*(4840*AC29+16890))*100</f>
        <v>19.744996701404023</v>
      </c>
      <c r="AF29" s="289">
        <f>Z29/((AB29/60000)*(4840*AD29+16890))*100</f>
        <v>18.102295450752479</v>
      </c>
      <c r="AG29" s="504"/>
      <c r="AH29" s="309" t="s">
        <v>61</v>
      </c>
      <c r="AI29" s="307" t="s">
        <v>66</v>
      </c>
      <c r="AJ29" s="123">
        <v>275</v>
      </c>
      <c r="AK29" s="500">
        <f>'[25]Laktatprofil+VO2max'!$V$12</f>
        <v>3950.4347826086955</v>
      </c>
      <c r="AL29" s="502">
        <f>'[25]Laktatprofil+VO2max'!$X$12</f>
        <v>0.9570833333333334</v>
      </c>
      <c r="AM29" s="503">
        <f t="shared" si="36"/>
        <v>19.406655805302051</v>
      </c>
      <c r="AN29" s="124">
        <f t="shared" si="37"/>
        <v>-1.3043603545495728</v>
      </c>
      <c r="AS29" s="985" t="s">
        <v>60</v>
      </c>
      <c r="AT29" s="987" t="s">
        <v>67</v>
      </c>
      <c r="AU29" s="988">
        <v>258</v>
      </c>
      <c r="AV29" s="998">
        <f t="shared" si="28"/>
        <v>-0.75149336200161798</v>
      </c>
      <c r="AW29" s="999"/>
      <c r="AX29" s="994"/>
      <c r="AY29" s="32" t="s">
        <v>61</v>
      </c>
      <c r="AZ29" s="121" t="s">
        <v>69</v>
      </c>
      <c r="BA29" s="988"/>
      <c r="BB29" s="998">
        <f t="shared" si="29"/>
        <v>0.94976909048103764</v>
      </c>
      <c r="BC29" s="999"/>
    </row>
    <row r="30" spans="1:56" ht="16" thickBot="1">
      <c r="A30" s="286">
        <v>225</v>
      </c>
      <c r="B30" s="33" t="s">
        <v>60</v>
      </c>
      <c r="C30" s="121" t="s">
        <v>67</v>
      </c>
      <c r="D30" s="147">
        <f>'[9]Lode 60+20min'!$C$10802</f>
        <v>258</v>
      </c>
      <c r="E30" s="167">
        <f>'[26]VO2 60+20min'!$K$4</f>
        <v>3330.0508474576272</v>
      </c>
      <c r="F30" s="167">
        <f>'[26]VO2 60+20min'!$L$4</f>
        <v>3838.8</v>
      </c>
      <c r="G30" s="165">
        <f>'[26]VO2 60+20min'!$Q$4</f>
        <v>0.90423728813559323</v>
      </c>
      <c r="H30" s="165">
        <f>'[26]VO2 60+20min'!$R$4</f>
        <v>0.89349999999999985</v>
      </c>
      <c r="I30" s="166">
        <f>A30/((E30/60000)*(4840*G30+16890))*100</f>
        <v>19.062800818666698</v>
      </c>
      <c r="J30" s="166">
        <f>D30/((F30/60000)*(4840*H30+16890))*100</f>
        <v>19.008237555114647</v>
      </c>
      <c r="K30" s="7"/>
      <c r="L30" s="33" t="s">
        <v>60</v>
      </c>
      <c r="M30" s="133" t="s">
        <v>67</v>
      </c>
      <c r="N30" s="147">
        <v>275</v>
      </c>
      <c r="O30" s="497">
        <f>'[26]Laktatprofil+VO2max'!$V$12</f>
        <v>3866.3478260869565</v>
      </c>
      <c r="P30" s="498">
        <f>'[26]Laktatprofil+VO2max'!$X$12</f>
        <v>0.972608695652174</v>
      </c>
      <c r="Q30" s="499">
        <f t="shared" si="32"/>
        <v>19.759730917116265</v>
      </c>
      <c r="R30" s="124">
        <f t="shared" si="33"/>
        <v>-0.75149336200161798</v>
      </c>
      <c r="U30" s="305"/>
      <c r="X30" s="32" t="s">
        <v>61</v>
      </c>
      <c r="Y30" s="121" t="s">
        <v>69</v>
      </c>
      <c r="Z30" s="123">
        <f>'[10]Lode 60+20min'!$C$10651</f>
        <v>246</v>
      </c>
      <c r="AA30" s="131">
        <f>'[27]VO2 60+20min'!$K$11</f>
        <v>3374.1993103448276</v>
      </c>
      <c r="AB30" s="126">
        <f>'[27]VO2 60+20min'!$L$11</f>
        <v>3334.5926315789475</v>
      </c>
      <c r="AC30" s="169">
        <f>'[27]VO2 60+20min'!$Q$11</f>
        <v>0.84862068965517312</v>
      </c>
      <c r="AD30" s="169">
        <f>'[27]VO2 60+20min'!$R$11</f>
        <v>0.83491228070175472</v>
      </c>
      <c r="AE30" s="171">
        <f t="shared" si="34"/>
        <v>20.832993225399328</v>
      </c>
      <c r="AF30" s="289">
        <f t="shared" si="35"/>
        <v>21.147259920794497</v>
      </c>
      <c r="AG30" s="143" t="s">
        <v>112</v>
      </c>
      <c r="AH30" s="309" t="s">
        <v>61</v>
      </c>
      <c r="AI30" s="307" t="s">
        <v>69</v>
      </c>
      <c r="AJ30" s="123">
        <v>225</v>
      </c>
      <c r="AK30" s="170">
        <f>'[27]Laktatprofil+VO2max'!$V$11</f>
        <v>3147.9590909090912</v>
      </c>
      <c r="AL30" s="141">
        <f>'[27]Laktatprofil+VO2max'!$X$11</f>
        <v>0.89727272727272733</v>
      </c>
      <c r="AM30" s="174">
        <f t="shared" si="36"/>
        <v>20.197490830313459</v>
      </c>
      <c r="AN30" s="124">
        <f t="shared" si="37"/>
        <v>0.94976909048103764</v>
      </c>
      <c r="AS30" s="986" t="s">
        <v>60</v>
      </c>
      <c r="AT30" s="987" t="s">
        <v>68</v>
      </c>
      <c r="AU30" s="988">
        <v>208</v>
      </c>
      <c r="AV30" s="998">
        <f t="shared" si="28"/>
        <v>-1.7254049655436816</v>
      </c>
      <c r="AW30" s="999"/>
      <c r="AX30" s="994"/>
      <c r="AY30" s="32" t="s">
        <v>61</v>
      </c>
      <c r="AZ30" s="121" t="s">
        <v>70</v>
      </c>
      <c r="BA30" s="988"/>
      <c r="BB30" s="998">
        <f t="shared" si="29"/>
        <v>-0.30614234365933513</v>
      </c>
      <c r="BC30" s="999"/>
    </row>
    <row r="31" spans="1:56" ht="16" thickBot="1">
      <c r="B31" s="32" t="s">
        <v>60</v>
      </c>
      <c r="C31" s="121" t="s">
        <v>68</v>
      </c>
      <c r="D31" s="147">
        <f>'[11]Lode 60+20min'!$C$35</f>
        <v>208</v>
      </c>
      <c r="E31" s="164">
        <f>'[28]VO2 60+20min'!$K$4</f>
        <v>3189.1186440677966</v>
      </c>
      <c r="F31" s="164">
        <f>'[28]VO2 60+20min'!$L$4</f>
        <v>3371.4193548387098</v>
      </c>
      <c r="G31" s="165">
        <f>'[28]VO2 60+20min'!$Q$4</f>
        <v>0.81491525423728794</v>
      </c>
      <c r="H31" s="165">
        <f>'[28]VO2 60+20min'!$R$4</f>
        <v>0.85064516129032286</v>
      </c>
      <c r="I31" s="166">
        <f t="shared" si="30"/>
        <v>18.783100919605001</v>
      </c>
      <c r="J31" s="166">
        <f t="shared" si="31"/>
        <v>17.621190244030572</v>
      </c>
      <c r="K31" s="7"/>
      <c r="L31" s="32" t="s">
        <v>60</v>
      </c>
      <c r="M31" s="133" t="s">
        <v>68</v>
      </c>
      <c r="N31" s="147">
        <v>225</v>
      </c>
      <c r="O31" s="167">
        <f>'[28]Laktatprofil+VO2max'!$V$11</f>
        <v>3283.4347826086955</v>
      </c>
      <c r="P31" s="165">
        <f>'[28]Laktatprofil+VO2max'!$X$11</f>
        <v>0.90125</v>
      </c>
      <c r="Q31" s="160">
        <f t="shared" si="32"/>
        <v>19.346595209574254</v>
      </c>
      <c r="R31" s="124">
        <f t="shared" si="33"/>
        <v>-1.7254049655436816</v>
      </c>
      <c r="U31" s="305"/>
      <c r="X31" s="32" t="s">
        <v>61</v>
      </c>
      <c r="Y31" s="121" t="s">
        <v>70</v>
      </c>
      <c r="Z31" s="123">
        <f>'[13]Lode 60+20min'!$C$40</f>
        <v>176</v>
      </c>
      <c r="AA31" s="311">
        <f>'[29]VO2 60+20min'!$K$9</f>
        <v>2525.3742857142861</v>
      </c>
      <c r="AB31" s="287">
        <f>'[29]VO2 60+20min'!$L$9</f>
        <v>2518.7511475409838</v>
      </c>
      <c r="AC31" s="288">
        <f>'[29]VO2 60+20min'!$Q$9</f>
        <v>0.79553571428571401</v>
      </c>
      <c r="AD31" s="288">
        <f>'[29]VO2 60+20min'!$R$9</f>
        <v>0.84180327868852445</v>
      </c>
      <c r="AE31" s="289">
        <f t="shared" si="34"/>
        <v>20.16142319966837</v>
      </c>
      <c r="AF31" s="289">
        <f t="shared" si="35"/>
        <v>19.998513414634729</v>
      </c>
      <c r="AG31" s="504"/>
      <c r="AH31" s="309" t="s">
        <v>61</v>
      </c>
      <c r="AI31" s="307" t="s">
        <v>70</v>
      </c>
      <c r="AJ31" s="123">
        <v>175</v>
      </c>
      <c r="AK31" s="500">
        <f>'[29]CORRECTED Laktatprofil+VO2max'!$V$10</f>
        <v>2445.3718181818185</v>
      </c>
      <c r="AL31" s="502">
        <f>'[29]CORRECTED Laktatprofil+VO2max'!$X$10</f>
        <v>0.87954545454545441</v>
      </c>
      <c r="AM31" s="503">
        <f t="shared" si="36"/>
        <v>20.304655758294064</v>
      </c>
      <c r="AN31" s="124">
        <f t="shared" si="37"/>
        <v>-0.30614234365933513</v>
      </c>
      <c r="AS31" s="986" t="s">
        <v>60</v>
      </c>
      <c r="AT31" s="987" t="s">
        <v>71</v>
      </c>
      <c r="AU31" s="988">
        <v>232</v>
      </c>
      <c r="AV31" s="998">
        <f t="shared" si="28"/>
        <v>2.1113360846863607</v>
      </c>
      <c r="AW31" s="999"/>
      <c r="AX31" s="994"/>
      <c r="AY31" s="53" t="s">
        <v>61</v>
      </c>
      <c r="AZ31" s="121" t="s">
        <v>74</v>
      </c>
      <c r="BA31" s="988"/>
      <c r="BB31" s="1000">
        <f t="shared" si="29"/>
        <v>-0.11386395035047769</v>
      </c>
      <c r="BC31" s="1001"/>
    </row>
    <row r="32" spans="1:56" ht="16" thickBot="1">
      <c r="B32" s="32" t="s">
        <v>60</v>
      </c>
      <c r="C32" s="121" t="s">
        <v>71</v>
      </c>
      <c r="D32" s="147">
        <f>'[14]Lode 60+20min'!$C$42</f>
        <v>232</v>
      </c>
      <c r="E32" s="167">
        <f>'[30]VO2 60+20min'!$K$10</f>
        <v>3131.0508474576272</v>
      </c>
      <c r="F32" s="167">
        <f>'[30]VO2 60+20min'!$L$10</f>
        <v>3150.1</v>
      </c>
      <c r="G32" s="165">
        <f>'[30]VO2 60+20min'!$Q$10</f>
        <v>0.84406779661016962</v>
      </c>
      <c r="H32" s="165">
        <f>'[30]VO2 60+20min'!$R$10</f>
        <v>0.88649999999999995</v>
      </c>
      <c r="I32" s="166">
        <f t="shared" si="30"/>
        <v>21.19537864181137</v>
      </c>
      <c r="J32" s="530">
        <f>D32/((F32/60000)*(4840*H32+16890))*100</f>
        <v>20.86293503731725</v>
      </c>
      <c r="K32" s="7"/>
      <c r="L32" s="32" t="s">
        <v>60</v>
      </c>
      <c r="M32" s="133" t="s">
        <v>71</v>
      </c>
      <c r="N32" s="147">
        <v>225</v>
      </c>
      <c r="O32" s="167">
        <f>'[30]CORRECTED Laktatprofil+VO2max'!$V$11</f>
        <v>3364.1990909090914</v>
      </c>
      <c r="P32" s="165">
        <f>'[30]CORRECTED Laktatprofil+VO2max'!$X$11</f>
        <v>0.93181818181818199</v>
      </c>
      <c r="Q32" s="160">
        <f t="shared" si="32"/>
        <v>18.751598952630889</v>
      </c>
      <c r="R32" s="124">
        <f t="shared" si="33"/>
        <v>2.1113360846863607</v>
      </c>
      <c r="U32" s="305"/>
      <c r="X32" s="53" t="s">
        <v>61</v>
      </c>
      <c r="Y32" s="121" t="s">
        <v>74</v>
      </c>
      <c r="Z32" s="123">
        <f>'[15]Lode 60+20min'!$C$17</f>
        <v>203</v>
      </c>
      <c r="AA32" s="132">
        <f>'[31]VO2 60+20min'!$K$10</f>
        <v>2999.6326315789474</v>
      </c>
      <c r="AB32" s="128">
        <f>'[31]VO2 60+20min'!$L$10</f>
        <v>3048.3328571428574</v>
      </c>
      <c r="AC32" s="169">
        <f>'[31]VO2 60+20min'!$Q$10</f>
        <v>0.90051724137931</v>
      </c>
      <c r="AD32" s="169">
        <f>'[31]VO2 60+20min'!$R$10</f>
        <v>0.91499999999999992</v>
      </c>
      <c r="AE32" s="171">
        <f t="shared" si="34"/>
        <v>19.109568081833604</v>
      </c>
      <c r="AF32" s="171">
        <f t="shared" si="35"/>
        <v>18.742443919022492</v>
      </c>
      <c r="AG32" s="143"/>
      <c r="AH32" s="310" t="s">
        <v>61</v>
      </c>
      <c r="AI32" s="307" t="s">
        <v>74</v>
      </c>
      <c r="AJ32" s="123">
        <v>225</v>
      </c>
      <c r="AK32" s="170">
        <f>'[31]Laktatprofil+VO2max'!$V$11</f>
        <v>3344.8300000000004</v>
      </c>
      <c r="AL32" s="141">
        <f>'[31]Laktatprofil+VO2max'!$X$11</f>
        <v>0.93272727272727285</v>
      </c>
      <c r="AM32" s="174">
        <f t="shared" si="36"/>
        <v>18.856307869372969</v>
      </c>
      <c r="AN32" s="124">
        <f t="shared" si="37"/>
        <v>-0.11386395035047769</v>
      </c>
      <c r="AS32" s="986" t="s">
        <v>60</v>
      </c>
      <c r="AT32" s="987" t="s">
        <v>72</v>
      </c>
      <c r="AU32" s="988">
        <v>210</v>
      </c>
      <c r="AV32" s="998">
        <f t="shared" si="28"/>
        <v>-0.53620122660024094</v>
      </c>
      <c r="AW32" s="999"/>
      <c r="AX32" s="994"/>
      <c r="AY32" s="1004"/>
      <c r="AZ32" s="1005" t="s">
        <v>76</v>
      </c>
      <c r="BA32" s="1006"/>
      <c r="BB32" s="275">
        <f>AVERAGE(BB27:BB31)</f>
        <v>-0.55145291195568047</v>
      </c>
      <c r="BC32" s="275" t="e">
        <f>AVERAGE(BC27:BC31)</f>
        <v>#DIV/0!</v>
      </c>
      <c r="BD32" s="18"/>
    </row>
    <row r="33" spans="2:56" ht="16" thickBot="1">
      <c r="B33" s="32" t="s">
        <v>60</v>
      </c>
      <c r="C33" s="121" t="s">
        <v>72</v>
      </c>
      <c r="D33" s="147">
        <f>'[16]Lode 60+20min'!$C$26</f>
        <v>210</v>
      </c>
      <c r="E33" s="164">
        <f>'[32]VO2 60+20min'!$K$10</f>
        <v>3067.9689655172415</v>
      </c>
      <c r="F33" s="164">
        <f>'[32]VO2 60+20min'!$L$10</f>
        <v>3077.7534426229508</v>
      </c>
      <c r="G33" s="165">
        <f>'[32]VO2 60+20min'!$Q$10</f>
        <v>0.84362068965517234</v>
      </c>
      <c r="H33" s="165">
        <f>'[32]VO2 60+20min'!$R$10</f>
        <v>0.89032786885245885</v>
      </c>
      <c r="I33" s="166">
        <f t="shared" si="30"/>
        <v>19.581973368130143</v>
      </c>
      <c r="J33" s="166">
        <f t="shared" si="31"/>
        <v>19.311567030212508</v>
      </c>
      <c r="K33" s="7"/>
      <c r="L33" s="32" t="s">
        <v>60</v>
      </c>
      <c r="M33" s="133" t="s">
        <v>72</v>
      </c>
      <c r="N33" s="147">
        <v>225</v>
      </c>
      <c r="O33" s="167">
        <f>'[32]CORRECTED Laktatprofil+VO2max'!$V$11</f>
        <v>3173.8923809523812</v>
      </c>
      <c r="P33" s="165">
        <f>'[32]CORRECTED Laktatprofil+VO2max'!$X$11</f>
        <v>0.93809523809523809</v>
      </c>
      <c r="Q33" s="160">
        <f t="shared" si="32"/>
        <v>19.847768256812749</v>
      </c>
      <c r="R33" s="124">
        <f t="shared" si="33"/>
        <v>-0.53620122660024094</v>
      </c>
      <c r="U33" s="305"/>
      <c r="X33" s="26"/>
      <c r="Y33" s="16" t="s">
        <v>76</v>
      </c>
      <c r="Z33" s="275">
        <f>AVERAGE(Z26:Z32)</f>
        <v>227.42857142857142</v>
      </c>
      <c r="AA33" s="275">
        <f t="shared" ref="AA33:AE33" si="38">AVERAGE(AA26:AA32)</f>
        <v>3447.0785245828997</v>
      </c>
      <c r="AB33" s="275">
        <f t="shared" si="38"/>
        <v>3436.1880622827434</v>
      </c>
      <c r="AC33" s="124">
        <f t="shared" si="38"/>
        <v>0.86223149677755384</v>
      </c>
      <c r="AD33" s="124">
        <f t="shared" si="38"/>
        <v>0.87575233614872461</v>
      </c>
      <c r="AE33" s="124">
        <f t="shared" si="38"/>
        <v>19.381980622737217</v>
      </c>
      <c r="AF33" s="821">
        <f>AVERAGE(AF26:AF32)</f>
        <v>18.882264954083727</v>
      </c>
      <c r="AG33" s="143"/>
      <c r="AI33" s="16" t="s">
        <v>76</v>
      </c>
      <c r="AJ33" s="275">
        <f>AVERAGE(AJ26:AJ32)</f>
        <v>225</v>
      </c>
      <c r="AK33" s="275">
        <f t="shared" ref="AK33:AN33" si="39">AVERAGE(AK26:AK32)</f>
        <v>3248.7846926986062</v>
      </c>
      <c r="AL33" s="275">
        <f t="shared" si="39"/>
        <v>0.91271038743864819</v>
      </c>
      <c r="AM33" s="821">
        <f>AVERAGE(AM26:AM32)</f>
        <v>19.476012980615753</v>
      </c>
      <c r="AN33" s="275">
        <f t="shared" si="39"/>
        <v>-0.59374802653202707</v>
      </c>
      <c r="AS33" s="991" t="s">
        <v>60</v>
      </c>
      <c r="AT33" s="987" t="s">
        <v>73</v>
      </c>
      <c r="AU33" s="988">
        <v>218</v>
      </c>
      <c r="AV33" s="1000">
        <f t="shared" si="28"/>
        <v>0.28836116081689056</v>
      </c>
      <c r="AW33" s="1001"/>
      <c r="AX33" s="995"/>
      <c r="AY33" s="1004"/>
      <c r="AZ33" s="1005" t="s">
        <v>13</v>
      </c>
      <c r="BA33" s="1006"/>
      <c r="BB33" s="275">
        <f>STDEVA(BB27:BB31)</f>
        <v>1.1314340748175298</v>
      </c>
      <c r="BC33" s="275" t="e">
        <f>STDEVA(BC27:BC31)</f>
        <v>#DIV/0!</v>
      </c>
      <c r="BD33" s="18"/>
    </row>
    <row r="34" spans="2:56" ht="16" thickBot="1">
      <c r="B34" s="53" t="s">
        <v>60</v>
      </c>
      <c r="C34" s="121" t="s">
        <v>73</v>
      </c>
      <c r="D34" s="147">
        <f>'[17]Lode 60+20min'!$C$17</f>
        <v>218</v>
      </c>
      <c r="E34" s="167">
        <f>'[33]VO2 60+20min'!$K$10</f>
        <v>3010.939393939394</v>
      </c>
      <c r="F34" s="167">
        <f>'[33]VO2 60+20min'!$L$10</f>
        <v>3053.4098360655739</v>
      </c>
      <c r="G34" s="165">
        <f>'[33]VO2 60+20min'!$Q$10</f>
        <v>0.82539682539682546</v>
      </c>
      <c r="H34" s="165">
        <f>'[33]VO2 60+20min'!$R$10</f>
        <v>0.8549180327868855</v>
      </c>
      <c r="I34" s="166">
        <f t="shared" si="30"/>
        <v>20.800458153900209</v>
      </c>
      <c r="J34" s="530">
        <f t="shared" si="31"/>
        <v>20.371768781255195</v>
      </c>
      <c r="K34" s="7"/>
      <c r="L34" s="53" t="s">
        <v>60</v>
      </c>
      <c r="M34" s="133" t="s">
        <v>73</v>
      </c>
      <c r="N34" s="147">
        <v>225</v>
      </c>
      <c r="O34" s="163">
        <f>'[33]CORRECTED Laktatprofil+VO2max'!$V$11</f>
        <v>3178.0245454545457</v>
      </c>
      <c r="P34" s="152">
        <f>'[33]CORRECTED Laktatprofil+VO2max'!$X$11</f>
        <v>0.88045454545454549</v>
      </c>
      <c r="Q34" s="160">
        <f t="shared" si="32"/>
        <v>20.083407620438305</v>
      </c>
      <c r="R34" s="124">
        <f t="shared" si="33"/>
        <v>0.28836116081689056</v>
      </c>
      <c r="U34" s="305"/>
      <c r="X34" s="26"/>
      <c r="Y34" s="16" t="s">
        <v>13</v>
      </c>
      <c r="Z34" s="275">
        <f>STDEVA(Z26:Z32)</f>
        <v>39.1699593347467</v>
      </c>
      <c r="AA34" s="275">
        <f t="shared" ref="AA34:AE34" si="40">STDEVA(AA26:AA32)</f>
        <v>696.24016426848709</v>
      </c>
      <c r="AB34" s="275">
        <f t="shared" si="40"/>
        <v>655.38032024277607</v>
      </c>
      <c r="AC34" s="124">
        <f t="shared" si="40"/>
        <v>4.1525523972588248E-2</v>
      </c>
      <c r="AD34" s="124">
        <f t="shared" si="40"/>
        <v>2.8562796863858174E-2</v>
      </c>
      <c r="AE34" s="124">
        <f t="shared" si="40"/>
        <v>0.92437768165446643</v>
      </c>
      <c r="AF34" s="821">
        <f>STDEVA(AF26:AF32)</f>
        <v>1.2302068721906485</v>
      </c>
      <c r="AI34" s="16" t="s">
        <v>13</v>
      </c>
      <c r="AJ34" s="275">
        <f>STDEVA(AJ26:AJ32)</f>
        <v>40.824829046386306</v>
      </c>
      <c r="AK34" s="275">
        <f t="shared" ref="AK34:AN34" si="41">STDEVA(AK26:AK32)</f>
        <v>540.30376646777904</v>
      </c>
      <c r="AL34" s="275">
        <f t="shared" si="41"/>
        <v>2.8154087836360458E-2</v>
      </c>
      <c r="AM34" s="821">
        <f>STDEVA(AM26:AM32)</f>
        <v>0.82590676512932781</v>
      </c>
      <c r="AN34" s="275">
        <f t="shared" si="41"/>
        <v>0.98205010922339164</v>
      </c>
      <c r="AS34" s="1004"/>
      <c r="AT34" s="1005" t="s">
        <v>76</v>
      </c>
      <c r="AU34" s="1006"/>
      <c r="AV34" s="275">
        <f>AVERAGE(AV27:AV33)</f>
        <v>5.5497429234816105E-2</v>
      </c>
      <c r="AW34" s="275" t="e">
        <f>AVERAGE(AW27:AW33)</f>
        <v>#DIV/0!</v>
      </c>
      <c r="AX34" s="1007"/>
      <c r="AY34" s="1004"/>
      <c r="AZ34" s="1005" t="s">
        <v>14</v>
      </c>
      <c r="BA34" s="1006"/>
      <c r="BB34" s="275">
        <f>BB33/SQRT(COUNT(BB27:BB31))</f>
        <v>0.50599270067031588</v>
      </c>
      <c r="BC34" s="275" t="e">
        <f>BC33/SQRT(COUNT(BC27:BC31))</f>
        <v>#DIV/0!</v>
      </c>
      <c r="BD34" s="18"/>
    </row>
    <row r="35" spans="2:56">
      <c r="B35" s="120"/>
      <c r="C35" s="16" t="s">
        <v>76</v>
      </c>
      <c r="D35" s="179">
        <f>AVERAGE(D26:D34)</f>
        <v>215.44444444444446</v>
      </c>
      <c r="E35" s="179">
        <f t="shared" ref="E35:I35" si="42">AVERAGE(E26:E34)</f>
        <v>3081.7395115624022</v>
      </c>
      <c r="F35" s="179">
        <f t="shared" si="42"/>
        <v>3183.2629598234707</v>
      </c>
      <c r="G35" s="179">
        <f t="shared" si="42"/>
        <v>0.84735936407249368</v>
      </c>
      <c r="H35" s="179">
        <f t="shared" si="42"/>
        <v>0.87916844126161953</v>
      </c>
      <c r="I35" s="394">
        <f t="shared" si="42"/>
        <v>19.688795095052381</v>
      </c>
      <c r="J35" s="824">
        <f>AVERAGE(J26:J34)</f>
        <v>19.254134426345328</v>
      </c>
      <c r="K35" s="7"/>
      <c r="L35" s="120"/>
      <c r="M35" s="16" t="s">
        <v>76</v>
      </c>
      <c r="N35" s="124">
        <f>AVERAGE(N26:N34)</f>
        <v>219.44444444444446</v>
      </c>
      <c r="O35" s="124">
        <f t="shared" ref="O35:P35" si="43">AVERAGE(O26:O34)</f>
        <v>3211.8729954827777</v>
      </c>
      <c r="P35" s="275">
        <f t="shared" si="43"/>
        <v>0.91148814752075624</v>
      </c>
      <c r="Q35" s="821">
        <f>AVERAGE(Q26:Q34)</f>
        <v>19.230894823595833</v>
      </c>
      <c r="R35" s="275">
        <f>AVERAGE(R26:R34)</f>
        <v>2.3239602749494596E-2</v>
      </c>
      <c r="U35" s="305"/>
      <c r="X35" s="26"/>
      <c r="Y35" s="16" t="s">
        <v>14</v>
      </c>
      <c r="Z35" s="275">
        <f>Z34/SQRT(COUNT(Z26:Z32))</f>
        <v>14.804853037750396</v>
      </c>
      <c r="AA35" s="275">
        <f t="shared" ref="AA35:AF35" si="44">AA34/SQRT(COUNT(AA26:AA32))</f>
        <v>263.1540467755965</v>
      </c>
      <c r="AB35" s="275">
        <f t="shared" si="44"/>
        <v>247.71047736117941</v>
      </c>
      <c r="AC35" s="124">
        <f t="shared" si="44"/>
        <v>1.569517278473135E-2</v>
      </c>
      <c r="AD35" s="124">
        <f t="shared" si="44"/>
        <v>1.0795722464317762E-2</v>
      </c>
      <c r="AE35" s="124">
        <f t="shared" si="44"/>
        <v>0.34938192330802159</v>
      </c>
      <c r="AF35" s="124">
        <f t="shared" si="44"/>
        <v>0.46497449213986819</v>
      </c>
      <c r="AI35" s="16" t="s">
        <v>14</v>
      </c>
      <c r="AJ35" s="275">
        <f>AJ34/SQRT(COUNT(AJ26:AJ32))</f>
        <v>15.430334996209192</v>
      </c>
      <c r="AK35" s="275">
        <f t="shared" ref="AK35:AN35" si="45">AK34/SQRT(COUNT(AK26:AK32))</f>
        <v>204.21562835789467</v>
      </c>
      <c r="AL35" s="275">
        <f t="shared" si="45"/>
        <v>1.0641244972125475E-2</v>
      </c>
      <c r="AM35" s="275">
        <f t="shared" si="45"/>
        <v>0.31216341523686197</v>
      </c>
      <c r="AN35" s="275">
        <f t="shared" si="45"/>
        <v>0.37118005200127324</v>
      </c>
      <c r="AS35" s="1004"/>
      <c r="AT35" s="1005" t="s">
        <v>13</v>
      </c>
      <c r="AU35" s="1006"/>
      <c r="AV35" s="275">
        <f>STDEVA(AV27:AV33)</f>
        <v>1.2701758333126905</v>
      </c>
      <c r="AW35" s="275" t="e">
        <f>STDEVA(AW27:AW33)</f>
        <v>#DIV/0!</v>
      </c>
      <c r="AX35" s="1007"/>
      <c r="AY35" s="1004"/>
      <c r="AZ35" s="1005" t="s">
        <v>100</v>
      </c>
      <c r="BA35" s="1008"/>
      <c r="BB35" s="1006"/>
      <c r="BC35" s="1006"/>
      <c r="BD35" s="18"/>
    </row>
    <row r="36" spans="2:56">
      <c r="B36" s="120"/>
      <c r="C36" s="16" t="s">
        <v>13</v>
      </c>
      <c r="D36" s="179">
        <f>STDEVA(D26:D34)</f>
        <v>27.582200379552408</v>
      </c>
      <c r="E36" s="179">
        <f>STDEVA(E26:E34)</f>
        <v>365.870492195098</v>
      </c>
      <c r="F36" s="179">
        <f t="shared" ref="F36:I36" si="46">STDEVA(F26:F34)</f>
        <v>439.09327209410981</v>
      </c>
      <c r="G36" s="179">
        <f t="shared" si="46"/>
        <v>2.8951369522783713E-2</v>
      </c>
      <c r="H36" s="179">
        <f t="shared" si="46"/>
        <v>1.6751951472235387E-2</v>
      </c>
      <c r="I36" s="394">
        <f t="shared" si="46"/>
        <v>1.1095080094755838</v>
      </c>
      <c r="J36" s="824">
        <f>STDEVA(J26:J34)</f>
        <v>1.0938634814475274</v>
      </c>
      <c r="L36" s="120"/>
      <c r="M36" s="16" t="s">
        <v>13</v>
      </c>
      <c r="N36" s="124">
        <f>STDEVA(N26:N34)</f>
        <v>30.04626062886663</v>
      </c>
      <c r="O36" s="124">
        <f t="shared" ref="O36:R36" si="47">STDEVA(O26:O34)</f>
        <v>406.06917499352215</v>
      </c>
      <c r="P36" s="275">
        <f t="shared" si="47"/>
        <v>3.5712364480135025E-2</v>
      </c>
      <c r="Q36" s="821">
        <f>STDEVA(Q26:Q34)</f>
        <v>0.5682271738296617</v>
      </c>
      <c r="R36" s="275">
        <f t="shared" si="47"/>
        <v>1.1103139315807546</v>
      </c>
      <c r="U36" s="305"/>
      <c r="X36" s="18"/>
      <c r="Y36" s="16" t="s">
        <v>100</v>
      </c>
      <c r="Z36" s="18"/>
      <c r="AA36" s="18"/>
      <c r="AB36" s="18"/>
      <c r="AI36" t="s">
        <v>174</v>
      </c>
      <c r="AS36" s="1004"/>
      <c r="AT36" s="1005" t="s">
        <v>14</v>
      </c>
      <c r="AU36" s="1006"/>
      <c r="AV36" s="275">
        <f t="shared" ref="AV36:AW36" si="48">AV35/SQRT(COUNT(AV27:AV33))</f>
        <v>0.48008133946708709</v>
      </c>
      <c r="AW36" s="275" t="e">
        <f t="shared" si="48"/>
        <v>#DIV/0!</v>
      </c>
      <c r="AX36" s="1007"/>
      <c r="AY36" s="1004"/>
      <c r="AZ36" s="1005" t="s">
        <v>99</v>
      </c>
      <c r="BA36" s="1006"/>
      <c r="BB36" s="1006"/>
      <c r="BC36" s="1006"/>
      <c r="BD36" s="18"/>
    </row>
    <row r="37" spans="2:56">
      <c r="B37" s="120"/>
      <c r="C37" s="16" t="s">
        <v>14</v>
      </c>
      <c r="D37" s="179">
        <f>D36/SQRT(COUNT(D26:D34))</f>
        <v>9.1940667931841364</v>
      </c>
      <c r="E37" s="179">
        <f t="shared" ref="E37:J37" si="49">E36/SQRT(COUNT(E26:E34))</f>
        <v>121.95683073169933</v>
      </c>
      <c r="F37" s="179">
        <f t="shared" si="49"/>
        <v>146.36442403136994</v>
      </c>
      <c r="G37" s="179">
        <f t="shared" si="49"/>
        <v>9.6504565075945705E-3</v>
      </c>
      <c r="H37" s="179">
        <f t="shared" si="49"/>
        <v>5.5839838240784624E-3</v>
      </c>
      <c r="I37" s="394">
        <f t="shared" si="49"/>
        <v>0.36983600315852794</v>
      </c>
      <c r="J37" s="394">
        <f t="shared" si="49"/>
        <v>0.36462116048250914</v>
      </c>
      <c r="L37" s="120"/>
      <c r="M37" s="16" t="s">
        <v>14</v>
      </c>
      <c r="N37" s="124">
        <f>N36/SQRT(COUNT(N26:N34))</f>
        <v>10.01542020962221</v>
      </c>
      <c r="O37" s="124">
        <f t="shared" ref="O37:Q37" si="50">O36/SQRT(COUNT(O26:O34))</f>
        <v>135.35639166450738</v>
      </c>
      <c r="P37" s="275">
        <f t="shared" si="50"/>
        <v>1.1904121493378342E-2</v>
      </c>
      <c r="Q37" s="275">
        <f t="shared" si="50"/>
        <v>0.18940905794322058</v>
      </c>
      <c r="R37" s="275">
        <f>R36/SQRT(COUNT(R26:R34))</f>
        <v>0.37010464386025155</v>
      </c>
      <c r="U37" s="305"/>
      <c r="X37" s="18"/>
      <c r="Y37" s="16" t="s">
        <v>99</v>
      </c>
      <c r="Z37" s="18"/>
      <c r="AA37" s="18"/>
      <c r="AB37" s="18"/>
      <c r="AF37">
        <f>TTEST(AF26:AF32,AM26:AM32,2,1)</f>
        <v>0.16079931465329927</v>
      </c>
      <c r="AS37" s="1004"/>
      <c r="AT37" s="1005" t="s">
        <v>100</v>
      </c>
      <c r="AU37" s="1008"/>
      <c r="AV37" s="1006"/>
      <c r="AW37" s="1006"/>
      <c r="AX37" s="1006"/>
      <c r="AY37" s="1007"/>
      <c r="AZ37" s="1007"/>
      <c r="BA37" s="863"/>
      <c r="BB37" s="18"/>
      <c r="BC37" s="18"/>
    </row>
    <row r="38" spans="2:56">
      <c r="B38" s="875"/>
      <c r="C38" s="16" t="s">
        <v>100</v>
      </c>
      <c r="D38" s="179"/>
      <c r="E38" s="179"/>
      <c r="F38" s="179"/>
      <c r="G38" s="179"/>
      <c r="H38" s="179"/>
      <c r="I38" s="394"/>
      <c r="J38" s="394">
        <f>SQRT((((7-1)*(AF34^2)+(9-1)*(J36^2)))/(9+7-2))</f>
        <v>1.1542700915255812</v>
      </c>
      <c r="L38" s="875"/>
      <c r="M38" s="16" t="s">
        <v>100</v>
      </c>
      <c r="N38" s="124"/>
      <c r="O38" s="124"/>
      <c r="P38" s="275"/>
      <c r="Q38" s="275">
        <f>SQRT((((7-1)*(AM34^2)+(9-1)*(Q36^2)))/(9+7-2))</f>
        <v>0.69053751717390932</v>
      </c>
      <c r="R38" s="275"/>
      <c r="U38" s="305"/>
      <c r="X38" s="18"/>
      <c r="Y38" s="18"/>
      <c r="Z38" s="18"/>
      <c r="AA38" s="18"/>
      <c r="AB38" s="18"/>
      <c r="AS38" s="1004"/>
      <c r="AT38" s="1005" t="s">
        <v>99</v>
      </c>
      <c r="AU38" s="1006"/>
      <c r="AV38" s="1006"/>
      <c r="AW38" s="1006"/>
      <c r="AX38" s="1006"/>
      <c r="AY38" s="1006"/>
      <c r="AZ38" s="1006"/>
      <c r="BA38" s="1006"/>
      <c r="BB38" s="18"/>
      <c r="BC38" s="18"/>
    </row>
    <row r="39" spans="2:56">
      <c r="B39" s="875"/>
      <c r="C39" s="16" t="s">
        <v>99</v>
      </c>
      <c r="D39" s="179"/>
      <c r="E39" s="179"/>
      <c r="F39" s="179"/>
      <c r="G39" s="179"/>
      <c r="H39" s="179"/>
      <c r="I39" s="394"/>
      <c r="J39" s="394">
        <f>(AF33-J35)/J38</f>
        <v>-0.32216850717331375</v>
      </c>
      <c r="L39" s="875"/>
      <c r="M39" s="16" t="s">
        <v>99</v>
      </c>
      <c r="N39" s="124"/>
      <c r="O39" s="124"/>
      <c r="P39" s="275"/>
      <c r="Q39" s="275">
        <f>(AM33-Q35)/Q38</f>
        <v>0.354967182700065</v>
      </c>
      <c r="R39" s="275"/>
      <c r="U39" s="305"/>
      <c r="X39" s="18"/>
      <c r="Y39" s="18"/>
      <c r="Z39" s="18"/>
      <c r="AA39" s="18"/>
      <c r="AB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6">
      <c r="P40" s="18"/>
      <c r="Q40" s="18"/>
      <c r="R40" s="18">
        <f>TTEST(R26:R34,AN26:AN32,2,2)</f>
        <v>0.26623785523785509</v>
      </c>
      <c r="U40" s="305"/>
      <c r="X40" s="18" t="s">
        <v>215</v>
      </c>
      <c r="Y40" s="18"/>
      <c r="Z40" s="18"/>
      <c r="AA40" s="18"/>
      <c r="AB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6">
      <c r="B41" t="s">
        <v>122</v>
      </c>
      <c r="U41" s="305"/>
      <c r="X41" s="18"/>
      <c r="Y41" s="18"/>
      <c r="Z41" s="18"/>
      <c r="AA41" s="18"/>
      <c r="AB41" s="18"/>
      <c r="AH41" s="7"/>
      <c r="AI41" s="7"/>
      <c r="AJ41" s="7"/>
      <c r="AK41" s="7"/>
      <c r="AL41" s="7"/>
      <c r="AM41" s="7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6" ht="16" thickBot="1"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306"/>
      <c r="V42" s="269"/>
      <c r="W42" s="269"/>
      <c r="X42" s="304"/>
      <c r="Y42" s="304"/>
      <c r="Z42" s="304"/>
      <c r="AA42" s="304"/>
      <c r="AB42" s="304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6" ht="16" thickBot="1">
      <c r="U43" s="305"/>
      <c r="X43" s="18"/>
      <c r="Y43" s="18"/>
      <c r="Z43" s="18"/>
      <c r="AA43" s="18"/>
      <c r="AB43" s="18"/>
    </row>
    <row r="44" spans="2:56" ht="16" thickBot="1">
      <c r="B44" s="1395" t="s">
        <v>170</v>
      </c>
      <c r="C44" s="1396"/>
      <c r="D44" s="313" t="s">
        <v>181</v>
      </c>
      <c r="E44" s="313"/>
      <c r="F44" s="313"/>
      <c r="G44" s="314"/>
      <c r="H44" s="315"/>
      <c r="I44" s="314"/>
      <c r="J44" s="314"/>
      <c r="K44" s="313"/>
      <c r="L44" s="1395" t="s">
        <v>170</v>
      </c>
      <c r="M44" s="1396"/>
      <c r="N44" s="313" t="s">
        <v>180</v>
      </c>
      <c r="O44" s="313"/>
      <c r="P44" s="313"/>
      <c r="Q44" s="313"/>
      <c r="R44" s="313"/>
      <c r="U44" s="305"/>
      <c r="X44" s="18"/>
      <c r="Y44" s="18"/>
      <c r="Z44" s="18"/>
      <c r="AA44" s="18"/>
      <c r="AB44" s="18"/>
    </row>
    <row r="45" spans="2:56" ht="16" thickBot="1">
      <c r="B45" s="1458" t="s">
        <v>77</v>
      </c>
      <c r="C45" s="1459"/>
      <c r="D45" s="1434" t="s">
        <v>102</v>
      </c>
      <c r="E45" s="1461" t="s">
        <v>103</v>
      </c>
      <c r="F45" s="1461"/>
      <c r="G45" s="1462" t="s">
        <v>108</v>
      </c>
      <c r="H45" s="1463"/>
      <c r="I45" s="1449" t="s">
        <v>109</v>
      </c>
      <c r="J45" s="1450"/>
      <c r="K45" s="313"/>
      <c r="L45" s="1458" t="s">
        <v>77</v>
      </c>
      <c r="M45" s="1459"/>
      <c r="N45" s="1464" t="s">
        <v>106</v>
      </c>
      <c r="O45" s="316" t="s">
        <v>107</v>
      </c>
      <c r="P45" s="1381" t="s">
        <v>108</v>
      </c>
      <c r="Q45" s="317" t="s">
        <v>109</v>
      </c>
      <c r="R45" s="527"/>
      <c r="U45" s="305"/>
      <c r="X45" s="1395" t="s">
        <v>170</v>
      </c>
      <c r="Y45" s="1396"/>
      <c r="Z45" s="313" t="s">
        <v>181</v>
      </c>
      <c r="AA45" s="313"/>
      <c r="AB45" s="313"/>
      <c r="AC45" s="313"/>
      <c r="AD45" s="313"/>
      <c r="AE45" s="313"/>
      <c r="AF45" s="313"/>
      <c r="AG45" s="313"/>
      <c r="AH45" s="1395" t="s">
        <v>170</v>
      </c>
      <c r="AI45" s="1396"/>
      <c r="AJ45" s="313" t="s">
        <v>180</v>
      </c>
      <c r="AK45" s="313"/>
      <c r="AL45" s="313"/>
      <c r="AM45" s="313"/>
    </row>
    <row r="46" spans="2:56" ht="16" thickBot="1">
      <c r="B46" s="1383"/>
      <c r="C46" s="1460"/>
      <c r="D46" s="1436"/>
      <c r="E46" s="318" t="s">
        <v>104</v>
      </c>
      <c r="F46" s="318" t="s">
        <v>105</v>
      </c>
      <c r="G46" s="319" t="s">
        <v>113</v>
      </c>
      <c r="H46" s="314" t="s">
        <v>114</v>
      </c>
      <c r="I46" s="320" t="s">
        <v>113</v>
      </c>
      <c r="J46" s="320" t="s">
        <v>114</v>
      </c>
      <c r="K46" s="313"/>
      <c r="L46" s="1383"/>
      <c r="M46" s="1460"/>
      <c r="N46" s="1464"/>
      <c r="O46" s="321" t="s">
        <v>42</v>
      </c>
      <c r="P46" s="1458"/>
      <c r="Q46" s="318" t="s">
        <v>36</v>
      </c>
      <c r="R46" s="527"/>
      <c r="U46" s="305"/>
      <c r="X46" s="1417" t="s">
        <v>77</v>
      </c>
      <c r="Y46" s="1433" t="s">
        <v>102</v>
      </c>
      <c r="Z46" s="1434"/>
      <c r="AA46" s="1461" t="s">
        <v>103</v>
      </c>
      <c r="AB46" s="1461"/>
      <c r="AC46" s="1462" t="s">
        <v>108</v>
      </c>
      <c r="AD46" s="1463"/>
      <c r="AE46" s="1449" t="s">
        <v>109</v>
      </c>
      <c r="AF46" s="1450"/>
      <c r="AG46" s="313"/>
      <c r="AH46" s="1458" t="s">
        <v>77</v>
      </c>
      <c r="AI46" s="1459"/>
      <c r="AJ46" s="1464" t="s">
        <v>106</v>
      </c>
      <c r="AK46" s="342" t="s">
        <v>107</v>
      </c>
      <c r="AL46" s="1417" t="s">
        <v>108</v>
      </c>
      <c r="AM46" s="317" t="s">
        <v>109</v>
      </c>
    </row>
    <row r="47" spans="2:56" ht="16" thickBot="1">
      <c r="B47" s="322" t="s">
        <v>60</v>
      </c>
      <c r="C47" s="323" t="s">
        <v>57</v>
      </c>
      <c r="D47" s="324">
        <f>'[1]Lode 60+20min'!$C$20</f>
        <v>239</v>
      </c>
      <c r="E47" s="325">
        <f t="shared" ref="E47:J50" si="51">E26-E5</f>
        <v>-9.8603825136610794</v>
      </c>
      <c r="F47" s="325">
        <f t="shared" si="51"/>
        <v>40.621067821067754</v>
      </c>
      <c r="G47" s="326">
        <f t="shared" si="51"/>
        <v>-2.1748633879780876E-2</v>
      </c>
      <c r="H47" s="326">
        <f t="shared" si="51"/>
        <v>6.1731601731604968E-3</v>
      </c>
      <c r="I47" s="327">
        <f t="shared" si="51"/>
        <v>0.14842242393882543</v>
      </c>
      <c r="J47" s="327">
        <f>J26-J5</f>
        <v>-0.24359609792811199</v>
      </c>
      <c r="K47" s="313"/>
      <c r="L47" s="322" t="s">
        <v>60</v>
      </c>
      <c r="M47" s="328" t="s">
        <v>57</v>
      </c>
      <c r="N47" s="324">
        <v>225</v>
      </c>
      <c r="O47" s="360">
        <f t="shared" ref="O47:Q55" si="52">O26-O5</f>
        <v>49.041666666666515</v>
      </c>
      <c r="P47" s="326">
        <f t="shared" si="52"/>
        <v>-6.2499999999996447E-3</v>
      </c>
      <c r="Q47" s="361">
        <f t="shared" si="52"/>
        <v>-0.24429670252508728</v>
      </c>
      <c r="R47" s="528"/>
      <c r="U47" s="305"/>
      <c r="X47" s="1465"/>
      <c r="Y47" s="1435"/>
      <c r="Z47" s="1436"/>
      <c r="AA47" s="317" t="s">
        <v>104</v>
      </c>
      <c r="AB47" s="317" t="s">
        <v>105</v>
      </c>
      <c r="AC47" s="319" t="s">
        <v>113</v>
      </c>
      <c r="AD47" s="314" t="s">
        <v>114</v>
      </c>
      <c r="AE47" s="320" t="s">
        <v>113</v>
      </c>
      <c r="AF47" s="320" t="s">
        <v>114</v>
      </c>
      <c r="AG47" s="313"/>
      <c r="AH47" s="1458"/>
      <c r="AI47" s="1460"/>
      <c r="AJ47" s="1464"/>
      <c r="AK47" s="317" t="s">
        <v>42</v>
      </c>
      <c r="AL47" s="1465"/>
      <c r="AM47" s="317" t="s">
        <v>36</v>
      </c>
    </row>
    <row r="48" spans="2:56" ht="16" thickBot="1">
      <c r="B48" s="322" t="s">
        <v>60</v>
      </c>
      <c r="C48" s="329" t="s">
        <v>59</v>
      </c>
      <c r="D48" s="330">
        <f>'[3]Lode 60+20min'!$C$28</f>
        <v>222</v>
      </c>
      <c r="E48" s="325">
        <f t="shared" si="51"/>
        <v>8.0297409657819117</v>
      </c>
      <c r="F48" s="325">
        <f t="shared" si="51"/>
        <v>90.384615384615699</v>
      </c>
      <c r="G48" s="326">
        <f t="shared" si="51"/>
        <v>1.8870056497175325E-2</v>
      </c>
      <c r="H48" s="326">
        <f t="shared" si="51"/>
        <v>-2.5576923076922164E-2</v>
      </c>
      <c r="I48" s="327">
        <f t="shared" si="51"/>
        <v>-0.12618970359912396</v>
      </c>
      <c r="J48" s="327">
        <f t="shared" si="51"/>
        <v>-0.37765156230820551</v>
      </c>
      <c r="K48" s="313"/>
      <c r="L48" s="322" t="s">
        <v>60</v>
      </c>
      <c r="M48" s="331" t="s">
        <v>59</v>
      </c>
      <c r="N48" s="324">
        <v>225</v>
      </c>
      <c r="O48" s="362">
        <f t="shared" si="52"/>
        <v>0</v>
      </c>
      <c r="P48" s="326">
        <f t="shared" si="52"/>
        <v>0</v>
      </c>
      <c r="Q48" s="361">
        <f t="shared" si="52"/>
        <v>0</v>
      </c>
      <c r="R48" s="528"/>
      <c r="U48" s="305"/>
      <c r="X48" s="343" t="s">
        <v>61</v>
      </c>
      <c r="Y48" s="323" t="s">
        <v>58</v>
      </c>
      <c r="Z48" s="344">
        <v>221</v>
      </c>
      <c r="AA48" s="345">
        <f t="shared" ref="AA48:AF50" si="53">AA26-AA5</f>
        <v>78.471186440677684</v>
      </c>
      <c r="AB48" s="346">
        <f t="shared" si="53"/>
        <v>82.738756613756777</v>
      </c>
      <c r="AC48" s="347">
        <f t="shared" si="53"/>
        <v>2.0173022598870438E-2</v>
      </c>
      <c r="AD48" s="347">
        <f t="shared" si="53"/>
        <v>1.5436507936507748E-2</v>
      </c>
      <c r="AE48" s="348">
        <f t="shared" si="53"/>
        <v>-0.5088060084094117</v>
      </c>
      <c r="AF48" s="348">
        <f t="shared" si="53"/>
        <v>-0.50047163831441921</v>
      </c>
      <c r="AG48" s="313"/>
      <c r="AH48" s="349" t="s">
        <v>61</v>
      </c>
      <c r="AI48" s="350" t="s">
        <v>58</v>
      </c>
      <c r="AJ48" s="344">
        <v>225</v>
      </c>
      <c r="AK48" s="351">
        <f t="shared" ref="AK48:AM54" si="54">AK26-AK5</f>
        <v>48.246794871794918</v>
      </c>
      <c r="AL48" s="352">
        <f t="shared" si="54"/>
        <v>1.3557692307692659E-2</v>
      </c>
      <c r="AM48" s="353">
        <f t="shared" si="54"/>
        <v>-0.34413384581911188</v>
      </c>
    </row>
    <row r="49" spans="2:40" ht="16" thickBot="1">
      <c r="B49" s="322" t="s">
        <v>60</v>
      </c>
      <c r="C49" s="323" t="s">
        <v>62</v>
      </c>
      <c r="D49" s="324">
        <f>'[5]Lode 60+20min'!$C$32</f>
        <v>186</v>
      </c>
      <c r="E49" s="325">
        <f t="shared" si="51"/>
        <v>-176.29166666666697</v>
      </c>
      <c r="F49" s="325">
        <f t="shared" si="51"/>
        <v>-164.46153846153811</v>
      </c>
      <c r="G49" s="326">
        <f t="shared" si="51"/>
        <v>4.5833333333333393E-2</v>
      </c>
      <c r="H49" s="326">
        <f t="shared" si="51"/>
        <v>5.3799999999999626E-2</v>
      </c>
      <c r="I49" s="327">
        <f t="shared" si="51"/>
        <v>1.2075290989322234</v>
      </c>
      <c r="J49" s="327">
        <f t="shared" si="51"/>
        <v>0.98672855791944158</v>
      </c>
      <c r="K49" s="313"/>
      <c r="L49" s="322" t="s">
        <v>60</v>
      </c>
      <c r="M49" s="328" t="s">
        <v>62</v>
      </c>
      <c r="N49" s="324">
        <v>175</v>
      </c>
      <c r="O49" s="362">
        <f t="shared" si="52"/>
        <v>-139.125</v>
      </c>
      <c r="P49" s="326">
        <f t="shared" si="52"/>
        <v>6.4583333333333326E-2</v>
      </c>
      <c r="Q49" s="361">
        <f t="shared" si="52"/>
        <v>0.71587078142420069</v>
      </c>
      <c r="R49" s="528"/>
      <c r="U49" s="305"/>
      <c r="X49" s="322" t="s">
        <v>61</v>
      </c>
      <c r="Y49" s="323" t="s">
        <v>63</v>
      </c>
      <c r="Z49" s="344">
        <f>'[4]Lode 60+20min'!$C$13</f>
        <v>197</v>
      </c>
      <c r="AA49" s="354">
        <f t="shared" si="53"/>
        <v>71.33333333333303</v>
      </c>
      <c r="AB49" s="355">
        <f t="shared" si="53"/>
        <v>51.596153846153811</v>
      </c>
      <c r="AC49" s="347">
        <f t="shared" si="53"/>
        <v>-2.4166666666666781E-2</v>
      </c>
      <c r="AD49" s="347">
        <f t="shared" si="53"/>
        <v>3.9999999999998925E-3</v>
      </c>
      <c r="AE49" s="348">
        <f t="shared" si="53"/>
        <v>-0.33869854046371373</v>
      </c>
      <c r="AF49" s="348">
        <f t="shared" si="53"/>
        <v>-0.32070878228998723</v>
      </c>
      <c r="AG49" s="313"/>
      <c r="AH49" s="356" t="s">
        <v>61</v>
      </c>
      <c r="AI49" s="350" t="s">
        <v>63</v>
      </c>
      <c r="AJ49" s="344">
        <v>175</v>
      </c>
      <c r="AK49" s="357">
        <f t="shared" si="54"/>
        <v>-19.916666666666515</v>
      </c>
      <c r="AL49" s="352">
        <f t="shared" si="54"/>
        <v>1.9999999999999907E-2</v>
      </c>
      <c r="AM49" s="353">
        <f t="shared" si="54"/>
        <v>4.9201290750239934E-2</v>
      </c>
    </row>
    <row r="50" spans="2:40" ht="16" thickBot="1">
      <c r="B50" s="322" t="s">
        <v>60</v>
      </c>
      <c r="C50" s="323" t="s">
        <v>64</v>
      </c>
      <c r="D50" s="324">
        <f>'[7]Lode 60+20min'!$C$29</f>
        <v>166</v>
      </c>
      <c r="E50" s="325">
        <f t="shared" si="51"/>
        <v>133.91666666666652</v>
      </c>
      <c r="F50" s="325">
        <f t="shared" si="51"/>
        <v>41.057692307692378</v>
      </c>
      <c r="G50" s="326">
        <f t="shared" si="51"/>
        <v>-2.1458333333332913E-2</v>
      </c>
      <c r="H50" s="326">
        <f t="shared" si="51"/>
        <v>-2.4399999999999422E-2</v>
      </c>
      <c r="I50" s="327">
        <f t="shared" si="51"/>
        <v>-0.93003215851442178</v>
      </c>
      <c r="J50" s="327">
        <f t="shared" si="51"/>
        <v>-0.20278554101174961</v>
      </c>
      <c r="K50" s="313"/>
      <c r="L50" s="322" t="s">
        <v>60</v>
      </c>
      <c r="M50" s="328" t="s">
        <v>64</v>
      </c>
      <c r="N50" s="324">
        <v>175</v>
      </c>
      <c r="O50" s="362">
        <f t="shared" si="52"/>
        <v>-1.4583333333334849</v>
      </c>
      <c r="P50" s="326">
        <f t="shared" si="52"/>
        <v>1.333333333333353E-2</v>
      </c>
      <c r="Q50" s="361">
        <f t="shared" si="52"/>
        <v>-4.6354235370564822E-2</v>
      </c>
      <c r="R50" s="528"/>
      <c r="U50" s="305"/>
      <c r="X50" s="322" t="s">
        <v>61</v>
      </c>
      <c r="Y50" s="323" t="s">
        <v>65</v>
      </c>
      <c r="Z50" s="344">
        <f>'[6]Lode 60+20min'!$C$70</f>
        <v>285</v>
      </c>
      <c r="AA50" s="345">
        <f t="shared" si="53"/>
        <v>146.84071038251341</v>
      </c>
      <c r="AB50" s="346">
        <f t="shared" si="53"/>
        <v>168.177419354839</v>
      </c>
      <c r="AC50" s="347">
        <f t="shared" si="53"/>
        <v>1.8412698412698769E-2</v>
      </c>
      <c r="AD50" s="347">
        <f t="shared" si="53"/>
        <v>-6.2740183792815429E-3</v>
      </c>
      <c r="AE50" s="348">
        <f t="shared" si="53"/>
        <v>-0.77306617172475711</v>
      </c>
      <c r="AF50" s="348">
        <f t="shared" si="53"/>
        <v>-0.692970666715091</v>
      </c>
      <c r="AG50" s="313"/>
      <c r="AH50" s="356" t="s">
        <v>61</v>
      </c>
      <c r="AI50" s="350" t="s">
        <v>65</v>
      </c>
      <c r="AJ50" s="344">
        <v>275</v>
      </c>
      <c r="AK50" s="351">
        <f t="shared" si="54"/>
        <v>180.73913043478251</v>
      </c>
      <c r="AL50" s="352">
        <f t="shared" si="54"/>
        <v>1.5869565217391135E-2</v>
      </c>
      <c r="AM50" s="353">
        <f t="shared" si="54"/>
        <v>-1.0842437518709609</v>
      </c>
    </row>
    <row r="51" spans="2:40" ht="16" thickBot="1">
      <c r="B51" s="332" t="s">
        <v>60</v>
      </c>
      <c r="C51" s="323" t="s">
        <v>67</v>
      </c>
      <c r="D51" s="324">
        <f>'[9]Lode 60+20min'!$C$10802</f>
        <v>258</v>
      </c>
      <c r="E51" s="325">
        <f t="shared" ref="E51:J51" si="55">E30-E9</f>
        <v>-59.682485875705879</v>
      </c>
      <c r="F51" s="325">
        <f t="shared" si="55"/>
        <v>-20.606779661016844</v>
      </c>
      <c r="G51" s="326">
        <f t="shared" si="55"/>
        <v>5.9039548022600252E-3</v>
      </c>
      <c r="H51" s="326">
        <f t="shared" si="55"/>
        <v>-2.0567796610169498E-2</v>
      </c>
      <c r="I51" s="327">
        <f t="shared" si="55"/>
        <v>0.3104386854734642</v>
      </c>
      <c r="J51" s="327">
        <f t="shared" si="55"/>
        <v>0.18979647425972601</v>
      </c>
      <c r="K51" s="313"/>
      <c r="L51" s="332" t="s">
        <v>60</v>
      </c>
      <c r="M51" s="328" t="s">
        <v>67</v>
      </c>
      <c r="N51" s="324">
        <v>275</v>
      </c>
      <c r="O51" s="362">
        <f t="shared" si="52"/>
        <v>-89.26086956521749</v>
      </c>
      <c r="P51" s="326">
        <f t="shared" si="52"/>
        <v>8.4420289855072772E-3</v>
      </c>
      <c r="Q51" s="361">
        <f t="shared" si="52"/>
        <v>0.40928267208231972</v>
      </c>
      <c r="R51" s="528"/>
      <c r="U51" s="305"/>
      <c r="X51" s="332" t="s">
        <v>61</v>
      </c>
      <c r="Y51" s="323" t="s">
        <v>66</v>
      </c>
      <c r="Z51" s="344">
        <f>'[8]Lode 60+20min'!$C$6856</f>
        <v>264</v>
      </c>
      <c r="AA51" s="354">
        <f>AA29-AB8</f>
        <v>562.18205574912918</v>
      </c>
      <c r="AB51" s="355" t="e">
        <f>AB29-#REF!</f>
        <v>#REF!</v>
      </c>
      <c r="AC51" s="347">
        <f>AC29-AD8</f>
        <v>3.2470238095237858E-2</v>
      </c>
      <c r="AD51" s="381"/>
      <c r="AE51" s="348">
        <f>AE29-AF8</f>
        <v>0.69013090124163412</v>
      </c>
      <c r="AF51" s="382"/>
      <c r="AG51" s="313"/>
      <c r="AH51" s="356" t="s">
        <v>61</v>
      </c>
      <c r="AI51" s="350" t="s">
        <v>66</v>
      </c>
      <c r="AJ51" s="344">
        <v>275</v>
      </c>
      <c r="AK51" s="357">
        <f t="shared" si="54"/>
        <v>105</v>
      </c>
      <c r="AL51" s="352">
        <f t="shared" si="54"/>
        <v>-7.9166666666665719E-3</v>
      </c>
      <c r="AM51" s="353">
        <f t="shared" si="54"/>
        <v>-0.49447029255032504</v>
      </c>
    </row>
    <row r="52" spans="2:40" ht="16" thickBot="1">
      <c r="B52" s="322" t="s">
        <v>60</v>
      </c>
      <c r="C52" s="323" t="s">
        <v>68</v>
      </c>
      <c r="D52" s="324">
        <f>'[11]Lode 60+20min'!$C$35</f>
        <v>208</v>
      </c>
      <c r="E52" s="325">
        <f t="shared" ref="E52:J54" si="56">E31-E10</f>
        <v>109.44122471295805</v>
      </c>
      <c r="F52" s="325">
        <f t="shared" si="56"/>
        <v>160.85483870967755</v>
      </c>
      <c r="G52" s="326">
        <f t="shared" si="56"/>
        <v>-2.9668079096045408E-2</v>
      </c>
      <c r="H52" s="326">
        <f t="shared" si="56"/>
        <v>0.18704516129032267</v>
      </c>
      <c r="I52" s="327">
        <f t="shared" si="56"/>
        <v>-0.53434749063302078</v>
      </c>
      <c r="J52" s="327">
        <f t="shared" si="56"/>
        <v>-1.7161935845697869</v>
      </c>
      <c r="K52" s="313"/>
      <c r="L52" s="322" t="s">
        <v>60</v>
      </c>
      <c r="M52" s="328" t="s">
        <v>68</v>
      </c>
      <c r="N52" s="324">
        <v>225</v>
      </c>
      <c r="O52" s="362">
        <f t="shared" si="52"/>
        <v>-6.3913043478260079</v>
      </c>
      <c r="P52" s="326">
        <f t="shared" si="52"/>
        <v>-3.6250000000000115E-2</v>
      </c>
      <c r="Q52" s="361">
        <f t="shared" si="52"/>
        <v>0.19568920657843947</v>
      </c>
      <c r="R52" s="528"/>
      <c r="U52" s="305"/>
      <c r="X52" s="322" t="s">
        <v>61</v>
      </c>
      <c r="Y52" s="323" t="s">
        <v>69</v>
      </c>
      <c r="Z52" s="344">
        <f>'[10]Lode 60+20min'!$C$10651</f>
        <v>246</v>
      </c>
      <c r="AA52" s="345">
        <f t="shared" ref="AA52:AF54" si="57">AA30-AA9</f>
        <v>-36.262356321838979</v>
      </c>
      <c r="AB52" s="346">
        <f t="shared" si="57"/>
        <v>131.84340080971651</v>
      </c>
      <c r="AC52" s="347">
        <f t="shared" si="57"/>
        <v>-2.7212643678160231E-2</v>
      </c>
      <c r="AD52" s="347">
        <f t="shared" si="57"/>
        <v>-4.3164642375168483E-2</v>
      </c>
      <c r="AE52" s="348">
        <f t="shared" si="57"/>
        <v>-0.39938442103610683</v>
      </c>
      <c r="AF52" s="348">
        <f t="shared" si="57"/>
        <v>-0.65294878476297669</v>
      </c>
      <c r="AG52" s="313"/>
      <c r="AH52" s="356" t="s">
        <v>61</v>
      </c>
      <c r="AI52" s="350" t="s">
        <v>69</v>
      </c>
      <c r="AJ52" s="344">
        <v>175</v>
      </c>
      <c r="AK52" s="351">
        <f t="shared" si="54"/>
        <v>19.192424242424295</v>
      </c>
      <c r="AL52" s="352">
        <f t="shared" si="54"/>
        <v>-2.7012987012986822E-2</v>
      </c>
      <c r="AM52" s="353">
        <f t="shared" si="54"/>
        <v>4.698702791685605E-4</v>
      </c>
    </row>
    <row r="53" spans="2:40" ht="16" thickBot="1">
      <c r="B53" s="322" t="s">
        <v>60</v>
      </c>
      <c r="C53" s="323" t="s">
        <v>71</v>
      </c>
      <c r="D53" s="324">
        <f>'[14]Lode 60+20min'!$C$42</f>
        <v>232</v>
      </c>
      <c r="E53" s="325">
        <f t="shared" si="56"/>
        <v>-145.60030008335661</v>
      </c>
      <c r="F53" s="325">
        <f t="shared" si="56"/>
        <v>-330.40131147541024</v>
      </c>
      <c r="G53" s="326">
        <f t="shared" si="56"/>
        <v>-8.7190886357324526E-3</v>
      </c>
      <c r="H53" s="326">
        <f t="shared" si="56"/>
        <v>1.8467213114753633E-2</v>
      </c>
      <c r="I53" s="327">
        <f t="shared" si="56"/>
        <v>0.98249806249624427</v>
      </c>
      <c r="J53" s="327">
        <f t="shared" si="56"/>
        <v>1.9004817789248065</v>
      </c>
      <c r="K53" s="313"/>
      <c r="L53" s="322" t="s">
        <v>60</v>
      </c>
      <c r="M53" s="328" t="s">
        <v>71</v>
      </c>
      <c r="N53" s="324">
        <v>225</v>
      </c>
      <c r="O53" s="362">
        <f t="shared" si="52"/>
        <v>29.806013986014477</v>
      </c>
      <c r="P53" s="326">
        <f t="shared" si="52"/>
        <v>4.1258741258742848E-3</v>
      </c>
      <c r="Q53" s="361">
        <f t="shared" si="52"/>
        <v>-0.18529063589664574</v>
      </c>
      <c r="R53" s="528"/>
      <c r="U53" s="305"/>
      <c r="X53" s="322" t="s">
        <v>61</v>
      </c>
      <c r="Y53" s="323" t="s">
        <v>70</v>
      </c>
      <c r="Z53" s="344">
        <f>'[13]Lode 60+20min'!$C$40</f>
        <v>176</v>
      </c>
      <c r="AA53" s="354">
        <f t="shared" si="57"/>
        <v>-120.99391100702542</v>
      </c>
      <c r="AB53" s="355">
        <f t="shared" si="57"/>
        <v>-244.5873139974783</v>
      </c>
      <c r="AC53" s="347">
        <f t="shared" si="57"/>
        <v>-2.3331381733020518E-3</v>
      </c>
      <c r="AD53" s="347">
        <f t="shared" si="57"/>
        <v>4.6610970996216583E-2</v>
      </c>
      <c r="AE53" s="348">
        <f t="shared" si="57"/>
        <v>0.93226475519089291</v>
      </c>
      <c r="AF53" s="348">
        <f t="shared" si="57"/>
        <v>1.5718092772054533</v>
      </c>
      <c r="AG53" s="313"/>
      <c r="AH53" s="356" t="s">
        <v>61</v>
      </c>
      <c r="AI53" s="350" t="s">
        <v>70</v>
      </c>
      <c r="AJ53" s="344">
        <v>225</v>
      </c>
      <c r="AK53" s="357">
        <f t="shared" si="54"/>
        <v>154.51467532467586</v>
      </c>
      <c r="AL53" s="352">
        <f t="shared" si="54"/>
        <v>6.9069264069264169E-2</v>
      </c>
      <c r="AM53" s="353">
        <f t="shared" si="54"/>
        <v>-1.7176489761708673</v>
      </c>
    </row>
    <row r="54" spans="2:40" ht="16" thickBot="1">
      <c r="B54" s="322" t="s">
        <v>60</v>
      </c>
      <c r="C54" s="323" t="s">
        <v>72</v>
      </c>
      <c r="D54" s="324">
        <f>'[16]Lode 60+20min'!$C$26</f>
        <v>210</v>
      </c>
      <c r="E54" s="325">
        <f t="shared" si="56"/>
        <v>-30.500864991233357</v>
      </c>
      <c r="F54" s="325">
        <f t="shared" si="56"/>
        <v>-187.50589071038257</v>
      </c>
      <c r="G54" s="326">
        <f t="shared" si="56"/>
        <v>6.2434248977205953E-2</v>
      </c>
      <c r="H54" s="326">
        <f t="shared" si="56"/>
        <v>0.12649453551912526</v>
      </c>
      <c r="I54" s="327">
        <f t="shared" si="56"/>
        <v>-9.0682595330527249E-2</v>
      </c>
      <c r="J54" s="327">
        <f t="shared" si="56"/>
        <v>0.56763133956222944</v>
      </c>
      <c r="K54" s="313"/>
      <c r="L54" s="322" t="s">
        <v>60</v>
      </c>
      <c r="M54" s="328" t="s">
        <v>72</v>
      </c>
      <c r="N54" s="324">
        <v>225</v>
      </c>
      <c r="O54" s="362">
        <f t="shared" si="52"/>
        <v>-76.553452380952422</v>
      </c>
      <c r="P54" s="326">
        <f t="shared" si="52"/>
        <v>2.4345238095237809E-2</v>
      </c>
      <c r="Q54" s="361">
        <f t="shared" si="52"/>
        <v>0.36030003025994262</v>
      </c>
      <c r="R54" s="528"/>
      <c r="U54" s="305"/>
      <c r="X54" s="333" t="s">
        <v>61</v>
      </c>
      <c r="Y54" s="323" t="s">
        <v>74</v>
      </c>
      <c r="Z54" s="344">
        <f>'[15]Lode 60+20min'!$C$17</f>
        <v>203</v>
      </c>
      <c r="AA54" s="345">
        <f t="shared" si="57"/>
        <v>-195.29425366695432</v>
      </c>
      <c r="AB54" s="346">
        <f t="shared" si="57"/>
        <v>-248.00679197994987</v>
      </c>
      <c r="AC54" s="347">
        <f t="shared" si="57"/>
        <v>3.5763143018654464E-2</v>
      </c>
      <c r="AD54" s="347">
        <f t="shared" si="57"/>
        <v>5.9736842105262977E-2</v>
      </c>
      <c r="AE54" s="348">
        <f t="shared" si="57"/>
        <v>1.0207439811315382</v>
      </c>
      <c r="AF54" s="348">
        <f t="shared" si="57"/>
        <v>1.1718302242072092</v>
      </c>
      <c r="AG54" s="313"/>
      <c r="AH54" s="358" t="s">
        <v>61</v>
      </c>
      <c r="AI54" s="350" t="s">
        <v>74</v>
      </c>
      <c r="AJ54" s="344">
        <v>225</v>
      </c>
      <c r="AK54" s="351">
        <f t="shared" si="54"/>
        <v>-116.42333333333318</v>
      </c>
      <c r="AL54" s="352">
        <f t="shared" si="54"/>
        <v>-2.2727272727272041E-3</v>
      </c>
      <c r="AM54" s="353">
        <f t="shared" si="54"/>
        <v>0.64361386922518804</v>
      </c>
    </row>
    <row r="55" spans="2:40" ht="16" thickBot="1">
      <c r="B55" s="333" t="s">
        <v>60</v>
      </c>
      <c r="C55" s="323" t="s">
        <v>73</v>
      </c>
      <c r="D55" s="324">
        <f>'[17]Lode 60+20min'!$C$17</f>
        <v>218</v>
      </c>
      <c r="E55" s="379"/>
      <c r="F55" s="379"/>
      <c r="G55" s="380"/>
      <c r="H55" s="380"/>
      <c r="I55" s="380"/>
      <c r="J55" s="380"/>
      <c r="K55" s="313"/>
      <c r="L55" s="333" t="s">
        <v>60</v>
      </c>
      <c r="M55" s="328" t="s">
        <v>73</v>
      </c>
      <c r="N55" s="324">
        <v>225</v>
      </c>
      <c r="O55" s="362">
        <f t="shared" si="52"/>
        <v>7.2721316614420175</v>
      </c>
      <c r="P55" s="326">
        <f t="shared" si="52"/>
        <v>-4.3730407523511206E-3</v>
      </c>
      <c r="Q55" s="361">
        <f t="shared" si="52"/>
        <v>-2.5938597100623184E-2</v>
      </c>
      <c r="R55" s="528"/>
      <c r="U55" s="305"/>
      <c r="X55" s="313"/>
      <c r="Y55" s="334" t="s">
        <v>76</v>
      </c>
      <c r="Z55" s="336">
        <f>AVERAGE(Z48:Z54)</f>
        <v>227.42857142857142</v>
      </c>
      <c r="AA55" s="336">
        <f>AVERAGE(AA48:AA54)</f>
        <v>72.325252129976363</v>
      </c>
      <c r="AB55" s="336" t="e">
        <f t="shared" ref="AB55:AE55" si="58">AVERAGE(AB48:AB54)</f>
        <v>#REF!</v>
      </c>
      <c r="AC55" s="336">
        <f>AVERAGE(AC48:AC54)</f>
        <v>7.5866648010474947E-3</v>
      </c>
      <c r="AD55" s="368">
        <f>AVERAGE(AD48:AD50,AD52:AD54)</f>
        <v>1.2724276713922863E-2</v>
      </c>
      <c r="AE55" s="336">
        <f t="shared" si="58"/>
        <v>8.902635656143941E-2</v>
      </c>
      <c r="AF55" s="368">
        <f>AVERAGE(AF48:AF54)</f>
        <v>9.6089938221698049E-2</v>
      </c>
      <c r="AG55" s="313"/>
      <c r="AH55" s="313"/>
      <c r="AI55" s="334" t="s">
        <v>76</v>
      </c>
      <c r="AJ55" s="336">
        <f>AVERAGE(AJ48:AJ54)</f>
        <v>225</v>
      </c>
      <c r="AK55" s="336">
        <f>AVERAGE(AK48:AK54)</f>
        <v>53.050432124811131</v>
      </c>
      <c r="AL55" s="336">
        <f>AVERAGE(AL48:AL54)</f>
        <v>1.1613448663138182E-2</v>
      </c>
      <c r="AM55" s="336">
        <f>AVERAGE(AM48:AM54)</f>
        <v>-0.42103026230809554</v>
      </c>
    </row>
    <row r="56" spans="2:40">
      <c r="B56" s="313"/>
      <c r="C56" s="334" t="s">
        <v>76</v>
      </c>
      <c r="D56" s="335">
        <f>AVERAGE(D47:D55)</f>
        <v>215.44444444444446</v>
      </c>
      <c r="E56" s="335">
        <f>AVERAGE(E47:E54)</f>
        <v>-21.318508473152178</v>
      </c>
      <c r="F56" s="335">
        <f t="shared" ref="F56:J56" si="59">AVERAGE(F47:F54)</f>
        <v>-46.257163260661798</v>
      </c>
      <c r="G56" s="369">
        <f t="shared" si="59"/>
        <v>6.4309323331353807E-3</v>
      </c>
      <c r="H56" s="369">
        <f t="shared" si="59"/>
        <v>4.0179418801283825E-2</v>
      </c>
      <c r="I56" s="335">
        <f t="shared" si="59"/>
        <v>0.12095454034545794</v>
      </c>
      <c r="J56" s="335">
        <f t="shared" si="59"/>
        <v>0.1380514206060437</v>
      </c>
      <c r="K56" s="313"/>
      <c r="L56" s="313"/>
      <c r="M56" s="334" t="s">
        <v>76</v>
      </c>
      <c r="N56" s="336"/>
      <c r="O56" s="337">
        <f t="shared" ref="O56:Q56" si="60">AVERAGE(O47:O55)</f>
        <v>-25.185460812578487</v>
      </c>
      <c r="P56" s="368">
        <f t="shared" si="60"/>
        <v>7.5507519023261492E-3</v>
      </c>
      <c r="Q56" s="336">
        <f t="shared" si="60"/>
        <v>0.13102916882799795</v>
      </c>
      <c r="R56" s="336"/>
      <c r="U56" s="305"/>
      <c r="X56" s="313"/>
      <c r="Y56" s="334" t="s">
        <v>13</v>
      </c>
      <c r="Z56" s="336">
        <f>STDEVA(Z48:Z54)</f>
        <v>39.1699593347467</v>
      </c>
      <c r="AA56" s="336">
        <f t="shared" ref="AA56:AE56" si="61">STDEVA(AA48:AA54)</f>
        <v>247.09470701544049</v>
      </c>
      <c r="AB56" s="336" t="e">
        <f t="shared" si="61"/>
        <v>#REF!</v>
      </c>
      <c r="AC56" s="336">
        <f t="shared" si="61"/>
        <v>2.5840517190352932E-2</v>
      </c>
      <c r="AD56" s="336">
        <f>STDEVA(AD48:AD50,AD52:AD54)</f>
        <v>3.7219524580085664E-2</v>
      </c>
      <c r="AE56" s="336">
        <f t="shared" si="61"/>
        <v>0.75966836422602224</v>
      </c>
      <c r="AF56" s="336">
        <f>STDEVA(AF48:AF50,AF52:AF54)</f>
        <v>1.0048131433411887</v>
      </c>
      <c r="AG56" s="313"/>
      <c r="AH56" s="313"/>
      <c r="AI56" s="334" t="s">
        <v>13</v>
      </c>
      <c r="AJ56" s="336">
        <f>STDEVA(AJ48:AJ54)</f>
        <v>40.824829046386306</v>
      </c>
      <c r="AK56" s="336">
        <f>STDEVA(AK48:AK54)</f>
        <v>103.69277396863674</v>
      </c>
      <c r="AL56" s="336">
        <f t="shared" ref="AL56:AM56" si="62">STDEVA(AL48:AL54)</f>
        <v>3.0165246003584219E-2</v>
      </c>
      <c r="AM56" s="336">
        <f t="shared" si="62"/>
        <v>0.78151838545862362</v>
      </c>
    </row>
    <row r="57" spans="2:40">
      <c r="B57" s="313"/>
      <c r="C57" s="334" t="s">
        <v>13</v>
      </c>
      <c r="D57" s="335">
        <f>STDEVA(D47:D55)</f>
        <v>27.582200379552408</v>
      </c>
      <c r="E57" s="335">
        <f>STDEVA(E47:E54)</f>
        <v>109.02649071206083</v>
      </c>
      <c r="F57" s="335">
        <f t="shared" ref="F57:J57" si="63">STDEVA(F47:F54)</f>
        <v>165.64048182589767</v>
      </c>
      <c r="G57" s="369">
        <f t="shared" si="63"/>
        <v>3.3697161915014921E-2</v>
      </c>
      <c r="H57" s="369">
        <f t="shared" si="63"/>
        <v>7.8392632156417452E-2</v>
      </c>
      <c r="I57" s="335">
        <f t="shared" si="63"/>
        <v>0.71707985063519719</v>
      </c>
      <c r="J57" s="335">
        <f t="shared" si="63"/>
        <v>1.0676829971809041</v>
      </c>
      <c r="K57" s="313"/>
      <c r="L57" s="313"/>
      <c r="M57" s="334" t="s">
        <v>13</v>
      </c>
      <c r="N57" s="336"/>
      <c r="O57" s="337">
        <f t="shared" ref="O57:Q57" si="64">STDEVA(O47:O55)</f>
        <v>62.113077880549945</v>
      </c>
      <c r="P57" s="368">
        <f t="shared" si="64"/>
        <v>2.7131369822675139E-2</v>
      </c>
      <c r="Q57" s="336">
        <f t="shared" si="64"/>
        <v>0.31432683936439926</v>
      </c>
      <c r="R57" s="336"/>
      <c r="U57" s="305"/>
      <c r="X57" s="313"/>
      <c r="Y57" s="334" t="s">
        <v>14</v>
      </c>
      <c r="Z57" s="336">
        <f>Z56/SQRT(COUNT(Z48:Z54))</f>
        <v>14.804853037750396</v>
      </c>
      <c r="AA57" s="336">
        <f t="shared" ref="AA57:AE57" si="65">AA56/SQRT(COUNT(AA48:AA54))</f>
        <v>93.393020720460356</v>
      </c>
      <c r="AB57" s="336" t="e">
        <f t="shared" si="65"/>
        <v>#REF!</v>
      </c>
      <c r="AC57" s="336">
        <f t="shared" si="65"/>
        <v>9.7667974621376222E-3</v>
      </c>
      <c r="AD57" s="336">
        <f>AD56/SQRT(COUNT(AD48:AD50,AD52:AD54))</f>
        <v>1.5194807281697703E-2</v>
      </c>
      <c r="AE57" s="336">
        <f t="shared" si="65"/>
        <v>0.28712765294647019</v>
      </c>
      <c r="AF57" s="336">
        <f>AF56/SQRT(COUNT(AF48:AF50,AF52:AF54))</f>
        <v>0.41021324800466086</v>
      </c>
      <c r="AG57" s="313"/>
      <c r="AH57" s="313"/>
      <c r="AI57" s="334" t="s">
        <v>14</v>
      </c>
      <c r="AJ57" s="336">
        <f>AJ56/SQRT(COUNT(AJ48:AJ54))</f>
        <v>15.430334996209192</v>
      </c>
      <c r="AK57" s="336">
        <f t="shared" ref="AK57:AM57" si="66">AK56/SQRT(COUNT(AK48:AK54))</f>
        <v>39.192184667920699</v>
      </c>
      <c r="AL57" s="336">
        <f t="shared" si="66"/>
        <v>1.1401391308938406E-2</v>
      </c>
      <c r="AM57" s="336">
        <f t="shared" si="66"/>
        <v>0.29538618470689076</v>
      </c>
    </row>
    <row r="58" spans="2:40">
      <c r="B58" s="313"/>
      <c r="C58" s="334" t="s">
        <v>14</v>
      </c>
      <c r="D58" s="335">
        <f>D57/SQRT(COUNT(D47:D55))</f>
        <v>9.1940667931841364</v>
      </c>
      <c r="E58" s="335">
        <f>E57/SQRT(COUNT(E47:E54))</f>
        <v>38.546685455735172</v>
      </c>
      <c r="F58" s="335">
        <f t="shared" ref="F58:J58" si="67">F57/SQRT(COUNT(F47:F54))</f>
        <v>58.562753969049659</v>
      </c>
      <c r="G58" s="369">
        <f t="shared" si="67"/>
        <v>1.1913745848424058E-2</v>
      </c>
      <c r="H58" s="369">
        <f t="shared" si="67"/>
        <v>2.771598089643269E-2</v>
      </c>
      <c r="I58" s="335">
        <f t="shared" si="67"/>
        <v>0.25352601251819229</v>
      </c>
      <c r="J58" s="335">
        <f t="shared" si="67"/>
        <v>0.37748294373209734</v>
      </c>
      <c r="K58" s="313"/>
      <c r="L58" s="313"/>
      <c r="M58" s="334" t="s">
        <v>14</v>
      </c>
      <c r="N58" s="336"/>
      <c r="O58" s="337">
        <f t="shared" ref="O58:P58" si="68">O57/SQRT(COUNT(O47:O55))</f>
        <v>20.704359293516649</v>
      </c>
      <c r="P58" s="368">
        <f t="shared" si="68"/>
        <v>9.0437899408917135E-3</v>
      </c>
      <c r="Q58" s="336">
        <f>Q57/SQRT(COUNT(Q47:Q55))</f>
        <v>0.10477561312146642</v>
      </c>
      <c r="R58" s="336"/>
      <c r="U58" s="305"/>
      <c r="X58" s="313"/>
      <c r="Y58" s="338" t="s">
        <v>99</v>
      </c>
      <c r="Z58" s="313"/>
      <c r="AA58" s="368">
        <f>AA55/AA13</f>
        <v>0.15019763323551827</v>
      </c>
      <c r="AB58" s="368" t="e">
        <f t="shared" ref="AB58:AF58" si="69">AB55/AB13</f>
        <v>#REF!</v>
      </c>
      <c r="AC58" s="368">
        <f t="shared" si="69"/>
        <v>0.21220152940181189</v>
      </c>
      <c r="AD58" s="368">
        <f t="shared" si="69"/>
        <v>0.37872035448686603</v>
      </c>
      <c r="AE58" s="368">
        <f t="shared" si="69"/>
        <v>8.0665413664662136E-2</v>
      </c>
      <c r="AF58" s="368">
        <f t="shared" si="69"/>
        <v>7.1029515405659299E-2</v>
      </c>
      <c r="AG58" s="313"/>
      <c r="AH58" s="313"/>
      <c r="AI58" s="334" t="s">
        <v>99</v>
      </c>
      <c r="AJ58" s="313"/>
      <c r="AK58" s="368">
        <f>AK55/AK13</f>
        <v>9.9293613261093053E-2</v>
      </c>
      <c r="AL58" s="368">
        <f>AL55/AL13</f>
        <v>0.23065509451901997</v>
      </c>
      <c r="AM58" s="368">
        <f>AM55/AM13</f>
        <v>-0.28673329770905315</v>
      </c>
    </row>
    <row r="59" spans="2:40" ht="16" thickBot="1">
      <c r="B59" s="372"/>
      <c r="C59" s="373" t="s">
        <v>99</v>
      </c>
      <c r="D59" s="374"/>
      <c r="E59" s="374">
        <f>E56/E15</f>
        <v>-5.3885279149197073E-2</v>
      </c>
      <c r="F59" s="374">
        <f>F56/F15</f>
        <v>-0.10425328073450794</v>
      </c>
      <c r="G59" s="374">
        <f t="shared" ref="G59:J59" si="70">G56/G15</f>
        <v>0.19918068480277248</v>
      </c>
      <c r="H59" s="374">
        <f t="shared" si="70"/>
        <v>0.46239587494975509</v>
      </c>
      <c r="I59" s="374">
        <f t="shared" si="70"/>
        <v>0.21762638756313687</v>
      </c>
      <c r="J59" s="374">
        <f t="shared" si="70"/>
        <v>0.4556050492973816</v>
      </c>
      <c r="K59" s="375"/>
      <c r="L59" s="372"/>
      <c r="M59" s="373" t="s">
        <v>99</v>
      </c>
      <c r="N59" s="376"/>
      <c r="O59" s="376">
        <f>O56/O15</f>
        <v>-6.3678084013910882E-2</v>
      </c>
      <c r="P59" s="376">
        <f>P56/P15</f>
        <v>0.18321870028938028</v>
      </c>
      <c r="Q59" s="376">
        <f>Q56/Q15</f>
        <v>0.26238498177450598</v>
      </c>
      <c r="R59" s="529"/>
      <c r="U59" s="305"/>
      <c r="X59" s="313"/>
      <c r="Y59" s="338" t="s">
        <v>100</v>
      </c>
      <c r="Z59" s="313"/>
      <c r="AA59" s="370">
        <f t="shared" ref="AA59:AF59" si="71">SQRT((((8-1)*(E15^2)+(7-1)*(AA13^2)))/(8+7-2))</f>
        <v>437.37840169740269</v>
      </c>
      <c r="AB59" s="370">
        <f t="shared" si="71"/>
        <v>478.76294134081616</v>
      </c>
      <c r="AC59" s="370">
        <f t="shared" si="71"/>
        <v>3.3930273600085797E-2</v>
      </c>
      <c r="AD59" s="370">
        <f t="shared" si="71"/>
        <v>6.7725085959872922E-2</v>
      </c>
      <c r="AE59" s="370">
        <f t="shared" si="71"/>
        <v>0.85352536237550169</v>
      </c>
      <c r="AF59" s="370">
        <f t="shared" si="71"/>
        <v>0.94557167528988006</v>
      </c>
      <c r="AG59" s="313"/>
      <c r="AH59" s="313"/>
      <c r="AI59" s="359" t="s">
        <v>100</v>
      </c>
      <c r="AJ59" s="313"/>
      <c r="AK59" s="370">
        <f>SQRT((((9-1)*(O15^2)+(7-1)*(AK13^2)))/(9+7-2))</f>
        <v>460.13660860547651</v>
      </c>
      <c r="AL59" s="370">
        <f>SQRT((((9-1)*(P15^2)+(7-1)*(AL13^2)))/(9+7-2))</f>
        <v>4.5354058094584301E-2</v>
      </c>
      <c r="AM59" s="370">
        <f>SQRT((((9-1)*(Q15^2)+(7-1)*(AM13^2)))/(9+7-2))</f>
        <v>1.0327379411634245</v>
      </c>
    </row>
    <row r="60" spans="2:40">
      <c r="B60" s="313"/>
      <c r="C60" s="338" t="s">
        <v>100</v>
      </c>
      <c r="D60" s="340"/>
      <c r="E60" s="370">
        <f t="shared" ref="E60:J60" si="72">SQRT((((8-1)*(E15^2)+(7-1)*(AA13^2)))/(8+7-2))</f>
        <v>437.37840169740269</v>
      </c>
      <c r="F60" s="370">
        <f t="shared" si="72"/>
        <v>478.76294134081616</v>
      </c>
      <c r="G60" s="371">
        <f t="shared" si="72"/>
        <v>3.3930273600085797E-2</v>
      </c>
      <c r="H60" s="371">
        <f t="shared" si="72"/>
        <v>6.7725085959872922E-2</v>
      </c>
      <c r="I60" s="370">
        <f t="shared" si="72"/>
        <v>0.85352536237550169</v>
      </c>
      <c r="J60" s="370">
        <f t="shared" si="72"/>
        <v>0.94557167528988006</v>
      </c>
      <c r="K60" s="339"/>
      <c r="L60" s="313"/>
      <c r="M60" s="338" t="s">
        <v>100</v>
      </c>
      <c r="N60" s="313"/>
      <c r="O60" s="370">
        <f>SQRT((((9-1)*(O15^2)+(7-1)*(AK13^2)))/(9+7-2))</f>
        <v>460.13660860547651</v>
      </c>
      <c r="P60" s="371">
        <f>SQRT((((9-1)*(P15^2)+(7-1)*(AL13^2)))/(9+7-2))</f>
        <v>4.5354058094584301E-2</v>
      </c>
      <c r="Q60" s="370">
        <f>SQRT((((9-1)*(Q15^2)+(7-1)*(AM13^2)))/(9+7-2))</f>
        <v>1.0327379411634245</v>
      </c>
      <c r="R60" s="370"/>
      <c r="U60" s="305"/>
      <c r="X60" s="313"/>
      <c r="Y60" s="338" t="s">
        <v>101</v>
      </c>
      <c r="Z60" s="313"/>
      <c r="AA60" s="377">
        <f t="shared" ref="AA60:AF60" si="73">(AA55-E56)/AA59</f>
        <v>0.21410238877756782</v>
      </c>
      <c r="AB60" s="377" t="e">
        <f t="shared" si="73"/>
        <v>#REF!</v>
      </c>
      <c r="AC60" s="371">
        <f t="shared" si="73"/>
        <v>3.40619849263223E-2</v>
      </c>
      <c r="AD60" s="377">
        <f t="shared" si="73"/>
        <v>-0.40539102606127542</v>
      </c>
      <c r="AE60" s="371">
        <f t="shared" si="73"/>
        <v>-3.740742242873385E-2</v>
      </c>
      <c r="AF60" s="371">
        <f t="shared" si="73"/>
        <v>-4.4376839409325249E-2</v>
      </c>
      <c r="AG60" s="313"/>
      <c r="AH60" s="313"/>
      <c r="AI60" s="359" t="s">
        <v>101</v>
      </c>
      <c r="AJ60" s="313"/>
      <c r="AK60" s="383">
        <f>(O56-AK55)/O60</f>
        <v>-0.17002753415881647</v>
      </c>
      <c r="AL60" s="369">
        <f>(P56-AL55)/P60</f>
        <v>-8.9577359369682433E-2</v>
      </c>
      <c r="AM60" s="383">
        <f>(Q56-AM55)/Q60</f>
        <v>0.5345590678252552</v>
      </c>
      <c r="AN60" t="s">
        <v>178</v>
      </c>
    </row>
    <row r="61" spans="2:40">
      <c r="B61" s="313"/>
      <c r="C61" s="338" t="s">
        <v>101</v>
      </c>
      <c r="D61" s="341"/>
      <c r="E61" s="377">
        <f t="shared" ref="E61:J61" si="74">(E56-AA55)/E60</f>
        <v>-0.21410238877756782</v>
      </c>
      <c r="F61" s="377" t="e">
        <f>(F56-AB55)/F60</f>
        <v>#REF!</v>
      </c>
      <c r="G61" s="371">
        <f t="shared" si="74"/>
        <v>-3.40619849263223E-2</v>
      </c>
      <c r="H61" s="377">
        <f t="shared" si="74"/>
        <v>0.40539102606127542</v>
      </c>
      <c r="I61" s="371">
        <f t="shared" si="74"/>
        <v>3.740742242873385E-2</v>
      </c>
      <c r="J61" s="371">
        <f t="shared" si="74"/>
        <v>4.4376839409325249E-2</v>
      </c>
      <c r="K61" s="313"/>
      <c r="L61" s="313"/>
      <c r="M61" s="338" t="s">
        <v>101</v>
      </c>
      <c r="N61" s="313"/>
      <c r="O61" s="377">
        <f>(O56-AK55)/O60</f>
        <v>-0.17002753415881647</v>
      </c>
      <c r="P61" s="371">
        <f>(P56-AL55)/P60</f>
        <v>-8.9577359369682433E-2</v>
      </c>
      <c r="Q61" s="377">
        <f>(Q56-AM55)/Q60</f>
        <v>0.5345590678252552</v>
      </c>
      <c r="R61" s="377"/>
      <c r="S61" t="s">
        <v>179</v>
      </c>
      <c r="U61" s="305"/>
      <c r="X61" s="18"/>
      <c r="Y61" s="18"/>
      <c r="Z61" s="18"/>
      <c r="AA61" s="18"/>
      <c r="AB61" s="18"/>
    </row>
    <row r="62" spans="2:40">
      <c r="P62" s="176"/>
      <c r="U62" s="305"/>
      <c r="X62" s="18"/>
      <c r="Y62" s="18"/>
      <c r="Z62" s="18"/>
      <c r="AA62" s="18"/>
      <c r="AB62" s="18"/>
    </row>
    <row r="63" spans="2:40" ht="16" thickBot="1">
      <c r="B63" t="s">
        <v>100</v>
      </c>
      <c r="C63" s="283" t="s">
        <v>168</v>
      </c>
      <c r="U63" s="305"/>
      <c r="X63" s="554"/>
      <c r="Y63" s="554"/>
      <c r="Z63" s="554"/>
      <c r="AA63" s="554"/>
      <c r="AB63" s="554"/>
      <c r="AC63" s="554"/>
      <c r="AD63" s="554"/>
      <c r="AE63" s="554"/>
      <c r="AF63" s="554"/>
      <c r="AG63" s="554"/>
      <c r="AH63" s="554"/>
      <c r="AI63" s="554"/>
      <c r="AJ63" s="554"/>
      <c r="AK63" s="554"/>
      <c r="AL63" s="554"/>
      <c r="AM63" s="554"/>
    </row>
    <row r="64" spans="2:40" ht="16" thickBot="1">
      <c r="U64" s="305"/>
      <c r="X64" s="1393" t="s">
        <v>177</v>
      </c>
      <c r="Y64" s="1394"/>
      <c r="Z64" s="554"/>
      <c r="AA64" s="554"/>
      <c r="AB64" s="554"/>
      <c r="AC64" s="554"/>
      <c r="AD64" s="554"/>
      <c r="AE64" s="554"/>
      <c r="AF64" s="554"/>
      <c r="AG64" s="554"/>
      <c r="AH64" s="1393" t="s">
        <v>177</v>
      </c>
      <c r="AI64" s="1394"/>
      <c r="AJ64" s="554"/>
      <c r="AK64" s="554"/>
      <c r="AL64" s="554"/>
      <c r="AM64" s="554"/>
    </row>
    <row r="65" spans="2:39" ht="16" thickBot="1">
      <c r="B65" s="554"/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554"/>
      <c r="N65" s="554"/>
      <c r="O65" s="554"/>
      <c r="P65" s="554"/>
      <c r="Q65" s="554"/>
      <c r="R65" s="554"/>
      <c r="U65" s="305"/>
      <c r="X65" s="1431" t="s">
        <v>77</v>
      </c>
      <c r="Y65" s="1439"/>
      <c r="Z65" s="1441" t="s">
        <v>102</v>
      </c>
      <c r="AA65" s="1443" t="s">
        <v>103</v>
      </c>
      <c r="AB65" s="1443"/>
      <c r="AC65" s="1444" t="s">
        <v>108</v>
      </c>
      <c r="AD65" s="1445"/>
      <c r="AE65" s="1446" t="s">
        <v>109</v>
      </c>
      <c r="AF65" s="1447"/>
      <c r="AG65" s="554"/>
      <c r="AH65" s="1448" t="s">
        <v>77</v>
      </c>
      <c r="AI65" s="1439"/>
      <c r="AJ65" s="1430" t="s">
        <v>106</v>
      </c>
      <c r="AK65" s="637" t="s">
        <v>107</v>
      </c>
      <c r="AL65" s="1431" t="s">
        <v>108</v>
      </c>
      <c r="AM65" s="638" t="s">
        <v>109</v>
      </c>
    </row>
    <row r="66" spans="2:39" ht="16" thickBot="1">
      <c r="B66" s="1393" t="s">
        <v>177</v>
      </c>
      <c r="C66" s="1394"/>
      <c r="D66" s="554" t="s">
        <v>181</v>
      </c>
      <c r="E66" s="554"/>
      <c r="F66" s="554"/>
      <c r="G66" s="619"/>
      <c r="H66" s="620"/>
      <c r="I66" s="619"/>
      <c r="J66" s="619"/>
      <c r="K66" s="554"/>
      <c r="L66" s="1393" t="s">
        <v>177</v>
      </c>
      <c r="M66" s="1394"/>
      <c r="N66" s="554" t="s">
        <v>180</v>
      </c>
      <c r="O66" s="554"/>
      <c r="P66" s="554"/>
      <c r="Q66" s="554"/>
      <c r="R66" s="554"/>
      <c r="U66" s="305"/>
      <c r="X66" s="1432"/>
      <c r="Y66" s="1440"/>
      <c r="Z66" s="1442"/>
      <c r="AA66" s="638" t="s">
        <v>104</v>
      </c>
      <c r="AB66" s="638" t="s">
        <v>105</v>
      </c>
      <c r="AC66" s="639" t="s">
        <v>113</v>
      </c>
      <c r="AD66" s="619" t="s">
        <v>114</v>
      </c>
      <c r="AE66" s="640" t="s">
        <v>113</v>
      </c>
      <c r="AF66" s="640" t="s">
        <v>114</v>
      </c>
      <c r="AG66" s="554"/>
      <c r="AH66" s="1448"/>
      <c r="AI66" s="1440"/>
      <c r="AJ66" s="1430"/>
      <c r="AK66" s="638" t="s">
        <v>42</v>
      </c>
      <c r="AL66" s="1432"/>
      <c r="AM66" s="638" t="s">
        <v>36</v>
      </c>
    </row>
    <row r="67" spans="2:39" ht="16" thickBot="1">
      <c r="B67" s="1448" t="s">
        <v>77</v>
      </c>
      <c r="C67" s="1439"/>
      <c r="D67" s="1441" t="s">
        <v>102</v>
      </c>
      <c r="E67" s="1451" t="s">
        <v>103</v>
      </c>
      <c r="F67" s="1451"/>
      <c r="G67" s="1452" t="s">
        <v>108</v>
      </c>
      <c r="H67" s="1453"/>
      <c r="I67" s="1393" t="s">
        <v>109</v>
      </c>
      <c r="J67" s="1394"/>
      <c r="K67" s="554"/>
      <c r="L67" s="1438" t="s">
        <v>77</v>
      </c>
      <c r="M67" s="1455"/>
      <c r="N67" s="1430" t="s">
        <v>106</v>
      </c>
      <c r="O67" s="621" t="s">
        <v>107</v>
      </c>
      <c r="P67" s="1437" t="s">
        <v>108</v>
      </c>
      <c r="Q67" s="622" t="s">
        <v>109</v>
      </c>
      <c r="R67" s="572"/>
      <c r="U67" s="305"/>
      <c r="X67" s="567" t="s">
        <v>61</v>
      </c>
      <c r="Y67" s="566" t="s">
        <v>58</v>
      </c>
      <c r="Z67" s="641">
        <v>221</v>
      </c>
      <c r="AA67" s="642">
        <f>(AA26-AA5)/AA5*100</f>
        <v>2.3101503309196207</v>
      </c>
      <c r="AB67" s="642">
        <f t="shared" ref="AB67:AF67" si="75">(AB26-AB5)/AB5*100</f>
        <v>2.425065869767836</v>
      </c>
      <c r="AC67" s="642">
        <f t="shared" si="75"/>
        <v>2.4821970898379417</v>
      </c>
      <c r="AD67" s="642">
        <f t="shared" si="75"/>
        <v>1.7891638303743684</v>
      </c>
      <c r="AE67" s="642">
        <f t="shared" si="75"/>
        <v>-2.7141421212108616</v>
      </c>
      <c r="AF67" s="642">
        <f t="shared" si="75"/>
        <v>-2.7126906507183626</v>
      </c>
      <c r="AG67" s="554"/>
      <c r="AH67" s="643" t="s">
        <v>61</v>
      </c>
      <c r="AI67" s="644" t="s">
        <v>58</v>
      </c>
      <c r="AJ67" s="641">
        <v>225</v>
      </c>
      <c r="AK67" s="645">
        <f t="shared" ref="AK67:AM73" si="76">(AK26-AK5)/AK5*100</f>
        <v>1.4759825584416746</v>
      </c>
      <c r="AL67" s="645">
        <f t="shared" si="76"/>
        <v>1.551667216903309</v>
      </c>
      <c r="AM67" s="645">
        <f t="shared" si="76"/>
        <v>-1.7597589533935352</v>
      </c>
    </row>
    <row r="68" spans="2:39" ht="16" thickBot="1">
      <c r="B68" s="1387"/>
      <c r="C68" s="1440"/>
      <c r="D68" s="1442"/>
      <c r="E68" s="558" t="s">
        <v>104</v>
      </c>
      <c r="F68" s="558" t="s">
        <v>105</v>
      </c>
      <c r="G68" s="623" t="s">
        <v>113</v>
      </c>
      <c r="H68" s="624" t="s">
        <v>114</v>
      </c>
      <c r="I68" s="625" t="s">
        <v>113</v>
      </c>
      <c r="J68" s="625" t="s">
        <v>114</v>
      </c>
      <c r="K68" s="554"/>
      <c r="L68" s="1454"/>
      <c r="M68" s="1456"/>
      <c r="N68" s="1430"/>
      <c r="O68" s="626" t="s">
        <v>42</v>
      </c>
      <c r="P68" s="1438"/>
      <c r="Q68" s="627" t="s">
        <v>36</v>
      </c>
      <c r="R68" s="572"/>
      <c r="U68" s="305"/>
      <c r="X68" s="565" t="s">
        <v>61</v>
      </c>
      <c r="Y68" s="566" t="s">
        <v>63</v>
      </c>
      <c r="Z68" s="641">
        <f>'[4]Lode 60+20min'!$C$13</f>
        <v>197</v>
      </c>
      <c r="AA68" s="642">
        <f>(AA27-AA6)/AA6*100</f>
        <v>2.4000616838283122</v>
      </c>
      <c r="AB68" s="642">
        <f t="shared" ref="AB68:AF69" si="77">(AB27-AB6)/AB6*100</f>
        <v>1.6905473012992567</v>
      </c>
      <c r="AC68" s="642">
        <f t="shared" si="77"/>
        <v>-2.7514231499051349</v>
      </c>
      <c r="AD68" s="642">
        <f t="shared" si="77"/>
        <v>0.45330915684495604</v>
      </c>
      <c r="AE68" s="642">
        <f t="shared" si="77"/>
        <v>-1.8005045734768232</v>
      </c>
      <c r="AF68" s="642">
        <f t="shared" si="77"/>
        <v>-1.7523295692204819</v>
      </c>
      <c r="AG68" s="554"/>
      <c r="AH68" s="646" t="s">
        <v>61</v>
      </c>
      <c r="AI68" s="644" t="s">
        <v>63</v>
      </c>
      <c r="AJ68" s="641">
        <v>175</v>
      </c>
      <c r="AK68" s="647">
        <f t="shared" si="76"/>
        <v>-0.7255175763463001</v>
      </c>
      <c r="AL68" s="647">
        <f t="shared" si="76"/>
        <v>2.2620169651272275</v>
      </c>
      <c r="AM68" s="647">
        <f t="shared" si="76"/>
        <v>0.27231011852789894</v>
      </c>
    </row>
    <row r="69" spans="2:39" ht="16" thickBot="1">
      <c r="B69" s="565" t="s">
        <v>60</v>
      </c>
      <c r="C69" s="566" t="s">
        <v>57</v>
      </c>
      <c r="D69" s="628">
        <f>'[1]Lode 60+20min'!$C$20</f>
        <v>239</v>
      </c>
      <c r="E69" s="629">
        <f>(E26-E5)/E5*100</f>
        <v>-0.27439622224474153</v>
      </c>
      <c r="F69" s="629">
        <f>(F26-F5)/F5*100</f>
        <v>1.1445426663586389</v>
      </c>
      <c r="G69" s="629">
        <f t="shared" ref="G69:J69" si="78">(G26-G5)/G5*100</f>
        <v>-2.5687362850134901</v>
      </c>
      <c r="H69" s="629">
        <f t="shared" si="78"/>
        <v>0.71149163772805402</v>
      </c>
      <c r="I69" s="629">
        <f t="shared" si="78"/>
        <v>0.78061034066789903</v>
      </c>
      <c r="J69" s="629">
        <f t="shared" si="78"/>
        <v>-1.2714635808137436</v>
      </c>
      <c r="K69" s="554"/>
      <c r="L69" s="565" t="s">
        <v>60</v>
      </c>
      <c r="M69" s="568" t="s">
        <v>57</v>
      </c>
      <c r="N69" s="630">
        <v>225</v>
      </c>
      <c r="O69" s="631">
        <f t="shared" ref="O69:O77" si="79">(O26-O5)/O5*100</f>
        <v>1.4500967141818673</v>
      </c>
      <c r="P69" s="631">
        <f t="shared" ref="P69:Q69" si="80">(P26-P5)/P5*100</f>
        <v>-0.72957198443575644</v>
      </c>
      <c r="Q69" s="631">
        <f t="shared" si="80"/>
        <v>-1.2874214972697184</v>
      </c>
      <c r="R69" s="632"/>
      <c r="U69" s="305"/>
      <c r="X69" s="565" t="s">
        <v>61</v>
      </c>
      <c r="Y69" s="566" t="s">
        <v>65</v>
      </c>
      <c r="Z69" s="641">
        <f>'[6]Lode 60+20min'!$C$70</f>
        <v>285</v>
      </c>
      <c r="AA69" s="642">
        <f>(AA28-AA7)/AA7*100</f>
        <v>3.6072446796636153</v>
      </c>
      <c r="AB69" s="642">
        <f t="shared" si="77"/>
        <v>3.9450783945759493</v>
      </c>
      <c r="AC69" s="642">
        <f t="shared" si="77"/>
        <v>2.1056453076783854</v>
      </c>
      <c r="AD69" s="642">
        <f t="shared" si="77"/>
        <v>-0.70956160241874577</v>
      </c>
      <c r="AE69" s="642">
        <f t="shared" si="77"/>
        <v>-3.8871640501632139</v>
      </c>
      <c r="AF69" s="642">
        <f t="shared" si="77"/>
        <v>-3.6571519707511135</v>
      </c>
      <c r="AG69" s="554"/>
      <c r="AH69" s="646" t="s">
        <v>61</v>
      </c>
      <c r="AI69" s="644" t="s">
        <v>65</v>
      </c>
      <c r="AJ69" s="641">
        <v>275</v>
      </c>
      <c r="AK69" s="647">
        <f t="shared" si="76"/>
        <v>4.9792183214153072</v>
      </c>
      <c r="AL69" s="647">
        <f t="shared" si="76"/>
        <v>1.7343787122831835</v>
      </c>
      <c r="AM69" s="647">
        <f t="shared" si="76"/>
        <v>-5.0850202229146149</v>
      </c>
    </row>
    <row r="70" spans="2:39" ht="16" thickBot="1">
      <c r="B70" s="565" t="s">
        <v>60</v>
      </c>
      <c r="C70" s="569" t="s">
        <v>59</v>
      </c>
      <c r="D70" s="633">
        <f>'[3]Lode 60+20min'!$C$28</f>
        <v>222</v>
      </c>
      <c r="E70" s="629">
        <f t="shared" ref="E70:E76" si="81">(E27-E6)/E6*100</f>
        <v>0.23741124262173377</v>
      </c>
      <c r="F70" s="629">
        <f t="shared" ref="F70:J70" si="82">(F27-F6)/F6*100</f>
        <v>2.6764918594784923</v>
      </c>
      <c r="G70" s="629">
        <f t="shared" si="82"/>
        <v>2.2644067796610394</v>
      </c>
      <c r="H70" s="629">
        <f t="shared" si="82"/>
        <v>-2.8255789250052112</v>
      </c>
      <c r="I70" s="629">
        <f t="shared" si="82"/>
        <v>-0.67042596172008739</v>
      </c>
      <c r="J70" s="629">
        <f t="shared" si="82"/>
        <v>-2.0366022810167084</v>
      </c>
      <c r="K70" s="554"/>
      <c r="L70" s="565" t="s">
        <v>60</v>
      </c>
      <c r="M70" s="575" t="s">
        <v>59</v>
      </c>
      <c r="N70" s="628">
        <v>225</v>
      </c>
      <c r="O70" s="634">
        <f t="shared" si="79"/>
        <v>0</v>
      </c>
      <c r="P70" s="634">
        <f t="shared" ref="P70:Q70" si="83">(P27-P6)/P6*100</f>
        <v>0</v>
      </c>
      <c r="Q70" s="634">
        <f t="shared" si="83"/>
        <v>0</v>
      </c>
      <c r="R70" s="635"/>
      <c r="U70" s="305"/>
      <c r="X70" s="570" t="s">
        <v>61</v>
      </c>
      <c r="Y70" s="566" t="s">
        <v>66</v>
      </c>
      <c r="Z70" s="641">
        <f>'[8]Lode 60+20min'!$C$6856</f>
        <v>264</v>
      </c>
      <c r="AA70" s="642">
        <f>(AA29-AB8)/AB8*100</f>
        <v>14.298142926264715</v>
      </c>
      <c r="AB70" s="642" t="e">
        <f>(AB29-#REF!)/#REF!*100</f>
        <v>#REF!</v>
      </c>
      <c r="AC70" s="642">
        <f>(AC29-AD8)/AD8*100</f>
        <v>3.695799457994553</v>
      </c>
      <c r="AD70" s="648"/>
      <c r="AE70" s="642">
        <f>(AE29-AF8)/AF8*100</f>
        <v>3.6218092978421956</v>
      </c>
      <c r="AF70" s="648"/>
      <c r="AG70" s="554"/>
      <c r="AH70" s="646" t="s">
        <v>61</v>
      </c>
      <c r="AI70" s="644" t="s">
        <v>66</v>
      </c>
      <c r="AJ70" s="641">
        <v>275</v>
      </c>
      <c r="AK70" s="647">
        <f t="shared" si="76"/>
        <v>2.730510486743174</v>
      </c>
      <c r="AL70" s="647">
        <f t="shared" si="76"/>
        <v>-0.82037996545767589</v>
      </c>
      <c r="AM70" s="647">
        <f t="shared" si="76"/>
        <v>-2.4846347393562098</v>
      </c>
    </row>
    <row r="71" spans="2:39" ht="16" thickBot="1">
      <c r="B71" s="565" t="s">
        <v>60</v>
      </c>
      <c r="C71" s="566" t="s">
        <v>62</v>
      </c>
      <c r="D71" s="628">
        <f>'[5]Lode 60+20min'!$C$32</f>
        <v>186</v>
      </c>
      <c r="E71" s="629">
        <f t="shared" si="81"/>
        <v>-6.6526203242189457</v>
      </c>
      <c r="F71" s="629">
        <f t="shared" ref="F71:J76" si="84">(F28-F7)/F7*100</f>
        <v>-6.0031728649847551</v>
      </c>
      <c r="G71" s="629">
        <f t="shared" si="84"/>
        <v>5.4794520547945282</v>
      </c>
      <c r="H71" s="629">
        <f t="shared" si="84"/>
        <v>6.3623462630084688</v>
      </c>
      <c r="I71" s="629">
        <f t="shared" si="84"/>
        <v>6.0036747739937182</v>
      </c>
      <c r="J71" s="629">
        <f t="shared" si="84"/>
        <v>5.0825125131563818</v>
      </c>
      <c r="K71" s="554"/>
      <c r="L71" s="565" t="s">
        <v>60</v>
      </c>
      <c r="M71" s="568" t="s">
        <v>62</v>
      </c>
      <c r="N71" s="628">
        <v>175</v>
      </c>
      <c r="O71" s="631">
        <f t="shared" si="79"/>
        <v>-5.1359748969421029</v>
      </c>
      <c r="P71" s="631">
        <f t="shared" ref="P71:Q77" si="85">(P28-P7)/P7*100</f>
        <v>7.781124497991966</v>
      </c>
      <c r="Q71" s="631">
        <f t="shared" si="85"/>
        <v>3.8612106600543656</v>
      </c>
      <c r="R71" s="632"/>
      <c r="U71" s="305"/>
      <c r="X71" s="565" t="s">
        <v>61</v>
      </c>
      <c r="Y71" s="566" t="s">
        <v>69</v>
      </c>
      <c r="Z71" s="641">
        <f>'[10]Lode 60+20min'!$C$10651</f>
        <v>246</v>
      </c>
      <c r="AA71" s="642">
        <f t="shared" ref="AA71:AF72" si="86">(AA30-AA9)/AA9*100</f>
        <v>-1.0632682570885266</v>
      </c>
      <c r="AB71" s="642">
        <f t="shared" si="86"/>
        <v>4.1165695878740589</v>
      </c>
      <c r="AC71" s="642">
        <f t="shared" si="86"/>
        <v>-3.1070573181534042</v>
      </c>
      <c r="AD71" s="642">
        <f t="shared" si="86"/>
        <v>-4.9158156012018415</v>
      </c>
      <c r="AE71" s="642">
        <f t="shared" si="86"/>
        <v>-1.8810160015364878</v>
      </c>
      <c r="AF71" s="642">
        <f t="shared" si="86"/>
        <v>-2.995149237248</v>
      </c>
      <c r="AG71" s="554"/>
      <c r="AH71" s="646" t="s">
        <v>61</v>
      </c>
      <c r="AI71" s="644" t="s">
        <v>69</v>
      </c>
      <c r="AJ71" s="641">
        <v>225</v>
      </c>
      <c r="AK71" s="647">
        <f t="shared" si="76"/>
        <v>0.6134182023510103</v>
      </c>
      <c r="AL71" s="647">
        <f t="shared" si="76"/>
        <v>-2.9225797386539067</v>
      </c>
      <c r="AM71" s="647">
        <f t="shared" si="76"/>
        <v>2.3264335869053968E-3</v>
      </c>
    </row>
    <row r="72" spans="2:39" ht="16" thickBot="1">
      <c r="B72" s="565" t="s">
        <v>60</v>
      </c>
      <c r="C72" s="566" t="s">
        <v>64</v>
      </c>
      <c r="D72" s="628">
        <f>'[7]Lode 60+20min'!$C$29</f>
        <v>166</v>
      </c>
      <c r="E72" s="629">
        <f t="shared" si="81"/>
        <v>5.522147005257545</v>
      </c>
      <c r="F72" s="629">
        <f t="shared" si="84"/>
        <v>1.6524767801857612</v>
      </c>
      <c r="G72" s="629">
        <f t="shared" si="84"/>
        <v>-2.5066926259430033</v>
      </c>
      <c r="H72" s="629">
        <f t="shared" si="84"/>
        <v>-2.6866329002421758</v>
      </c>
      <c r="I72" s="629">
        <f t="shared" si="84"/>
        <v>-4.7629004684762979</v>
      </c>
      <c r="J72" s="629">
        <f t="shared" si="84"/>
        <v>-1.0767738735515906</v>
      </c>
      <c r="K72" s="554"/>
      <c r="L72" s="565" t="s">
        <v>60</v>
      </c>
      <c r="M72" s="568" t="s">
        <v>64</v>
      </c>
      <c r="N72" s="628">
        <v>175</v>
      </c>
      <c r="O72" s="634">
        <f t="shared" si="79"/>
        <v>-5.5706759617379933E-2</v>
      </c>
      <c r="P72" s="634">
        <f t="shared" si="85"/>
        <v>1.4591883264934098</v>
      </c>
      <c r="Q72" s="634">
        <f t="shared" si="85"/>
        <v>-0.24631136075380813</v>
      </c>
      <c r="R72" s="635"/>
      <c r="U72" s="305"/>
      <c r="X72" s="565" t="s">
        <v>61</v>
      </c>
      <c r="Y72" s="566" t="s">
        <v>70</v>
      </c>
      <c r="Z72" s="641">
        <f>'[13]Lode 60+20min'!$C$40</f>
        <v>176</v>
      </c>
      <c r="AA72" s="642">
        <f t="shared" si="86"/>
        <v>-4.5720739524050158</v>
      </c>
      <c r="AB72" s="642">
        <f t="shared" si="86"/>
        <v>-8.8511529587044038</v>
      </c>
      <c r="AC72" s="642">
        <f t="shared" si="86"/>
        <v>-0.29242126273150854</v>
      </c>
      <c r="AD72" s="642">
        <f t="shared" si="86"/>
        <v>5.8615973199595199</v>
      </c>
      <c r="AE72" s="642">
        <f t="shared" si="86"/>
        <v>4.8481828150864024</v>
      </c>
      <c r="AF72" s="642">
        <f t="shared" si="86"/>
        <v>8.5300619442448902</v>
      </c>
      <c r="AG72" s="554"/>
      <c r="AH72" s="646" t="s">
        <v>61</v>
      </c>
      <c r="AI72" s="644" t="s">
        <v>70</v>
      </c>
      <c r="AJ72" s="641">
        <v>175</v>
      </c>
      <c r="AK72" s="647">
        <f t="shared" si="76"/>
        <v>6.7448411528606327</v>
      </c>
      <c r="AL72" s="647">
        <f t="shared" si="76"/>
        <v>8.5220596090161465</v>
      </c>
      <c r="AM72" s="647">
        <f t="shared" si="76"/>
        <v>-7.7995877220005259</v>
      </c>
    </row>
    <row r="73" spans="2:39" ht="16" thickBot="1">
      <c r="B73" s="570" t="s">
        <v>60</v>
      </c>
      <c r="C73" s="566" t="s">
        <v>67</v>
      </c>
      <c r="D73" s="628">
        <f>'[9]Lode 60+20min'!$C$10802</f>
        <v>258</v>
      </c>
      <c r="E73" s="629">
        <f t="shared" si="81"/>
        <v>-1.7606838062691033</v>
      </c>
      <c r="F73" s="629">
        <f t="shared" si="84"/>
        <v>-0.53393645286664493</v>
      </c>
      <c r="G73" s="629">
        <f t="shared" si="84"/>
        <v>0.65721203735733125</v>
      </c>
      <c r="H73" s="629">
        <f t="shared" si="84"/>
        <v>-2.2501390691637315</v>
      </c>
      <c r="I73" s="629">
        <f t="shared" si="84"/>
        <v>1.6554644330591399</v>
      </c>
      <c r="J73" s="629">
        <f t="shared" si="84"/>
        <v>1.0085664027336294</v>
      </c>
      <c r="K73" s="554"/>
      <c r="L73" s="570" t="s">
        <v>60</v>
      </c>
      <c r="M73" s="568" t="s">
        <v>67</v>
      </c>
      <c r="N73" s="628">
        <v>275</v>
      </c>
      <c r="O73" s="631">
        <f t="shared" si="79"/>
        <v>-2.2565647017443609</v>
      </c>
      <c r="P73" s="631">
        <f t="shared" si="85"/>
        <v>0.87557776859193881</v>
      </c>
      <c r="Q73" s="631">
        <f t="shared" si="85"/>
        <v>2.1151069313722854</v>
      </c>
      <c r="R73" s="632"/>
      <c r="U73" s="305"/>
      <c r="X73" s="571" t="s">
        <v>61</v>
      </c>
      <c r="Y73" s="566" t="s">
        <v>74</v>
      </c>
      <c r="Z73" s="641">
        <f>'[15]Lode 60+20min'!$C$17</f>
        <v>203</v>
      </c>
      <c r="AA73" s="642">
        <f>(AA32-AA11)/AA11*100</f>
        <v>-6.1126360846884689</v>
      </c>
      <c r="AB73" s="642">
        <f t="shared" ref="AB73:AF73" si="87">(AB32-AB11)/AB11*100</f>
        <v>-7.5237026028536604</v>
      </c>
      <c r="AC73" s="642">
        <f t="shared" si="87"/>
        <v>4.1356430789344509</v>
      </c>
      <c r="AD73" s="642">
        <f t="shared" si="87"/>
        <v>6.9846153846153625</v>
      </c>
      <c r="AE73" s="642">
        <f t="shared" si="87"/>
        <v>5.6429537677461354</v>
      </c>
      <c r="AF73" s="642">
        <f t="shared" si="87"/>
        <v>6.6692617831156999</v>
      </c>
      <c r="AG73" s="554"/>
      <c r="AH73" s="649" t="s">
        <v>61</v>
      </c>
      <c r="AI73" s="644" t="s">
        <v>74</v>
      </c>
      <c r="AJ73" s="641">
        <v>225</v>
      </c>
      <c r="AK73" s="647">
        <f t="shared" si="76"/>
        <v>-3.3636178031849684</v>
      </c>
      <c r="AL73" s="647">
        <f t="shared" si="76"/>
        <v>-0.24307243558579719</v>
      </c>
      <c r="AM73" s="647">
        <f t="shared" si="76"/>
        <v>3.5338751599294733</v>
      </c>
    </row>
    <row r="74" spans="2:39" ht="16" thickBot="1">
      <c r="B74" s="565" t="s">
        <v>60</v>
      </c>
      <c r="C74" s="566" t="s">
        <v>68</v>
      </c>
      <c r="D74" s="628">
        <f>'[11]Lode 60+20min'!$C$35</f>
        <v>208</v>
      </c>
      <c r="E74" s="629">
        <f t="shared" si="81"/>
        <v>3.5536587054589917</v>
      </c>
      <c r="F74" s="629">
        <f t="shared" si="84"/>
        <v>5.0101730677450993</v>
      </c>
      <c r="G74" s="629">
        <f t="shared" si="84"/>
        <v>-3.5127474016037974</v>
      </c>
      <c r="H74" s="629">
        <f t="shared" si="84"/>
        <v>28.186431779735173</v>
      </c>
      <c r="I74" s="629">
        <f t="shared" si="84"/>
        <v>-2.7661390846516918</v>
      </c>
      <c r="J74" s="629">
        <f t="shared" si="84"/>
        <v>-8.8750039807944638</v>
      </c>
      <c r="K74" s="554"/>
      <c r="L74" s="565" t="s">
        <v>60</v>
      </c>
      <c r="M74" s="568" t="s">
        <v>68</v>
      </c>
      <c r="N74" s="628">
        <v>225</v>
      </c>
      <c r="O74" s="634">
        <f t="shared" si="79"/>
        <v>-0.19427483942589563</v>
      </c>
      <c r="P74" s="634">
        <f t="shared" si="85"/>
        <v>-3.8666666666666787</v>
      </c>
      <c r="Q74" s="634">
        <f t="shared" si="85"/>
        <v>1.021827408832916</v>
      </c>
      <c r="R74" s="635"/>
      <c r="U74" s="305"/>
      <c r="X74" s="554"/>
      <c r="Y74" s="572" t="s">
        <v>76</v>
      </c>
      <c r="Z74" s="574">
        <f>AVERAGE(Z67:Z73)</f>
        <v>227.42857142857142</v>
      </c>
      <c r="AA74" s="574">
        <f>AVERAGE(AA67:AA73)</f>
        <v>1.5525173323563217</v>
      </c>
      <c r="AB74" s="574" t="e">
        <f t="shared" ref="AB74" si="88">AVERAGE(AB67:AB73)</f>
        <v>#REF!</v>
      </c>
      <c r="AC74" s="574">
        <f>AVERAGE(AC67:AC73)</f>
        <v>0.89548331480789756</v>
      </c>
      <c r="AD74" s="650">
        <f>AVERAGE(AD67:AD69,AD71:AD73)</f>
        <v>1.57721808136227</v>
      </c>
      <c r="AE74" s="574">
        <f t="shared" ref="AE74" si="89">AVERAGE(AE67:AE73)</f>
        <v>0.54715987632676388</v>
      </c>
      <c r="AF74" s="650">
        <f>AVERAGE(AF67:AF69,AF71:AF73)</f>
        <v>0.68033371657043851</v>
      </c>
      <c r="AG74" s="554"/>
      <c r="AH74" s="554"/>
      <c r="AI74" s="572" t="s">
        <v>76</v>
      </c>
      <c r="AJ74" s="574">
        <f>AVERAGE(AJ67:AJ73)</f>
        <v>225</v>
      </c>
      <c r="AK74" s="574">
        <f>AVERAGE(AK67:AK73)</f>
        <v>1.7792621917543612</v>
      </c>
      <c r="AL74" s="574">
        <f>AVERAGE(AL67:AL73)</f>
        <v>1.440584337661784</v>
      </c>
      <c r="AM74" s="574">
        <f>AVERAGE(AM67:AM73)</f>
        <v>-1.9029271322315158</v>
      </c>
    </row>
    <row r="75" spans="2:39" ht="16" thickBot="1">
      <c r="B75" s="565" t="s">
        <v>60</v>
      </c>
      <c r="C75" s="566" t="s">
        <v>71</v>
      </c>
      <c r="D75" s="628">
        <f>'[14]Lode 60+20min'!$C$42</f>
        <v>232</v>
      </c>
      <c r="E75" s="629">
        <f t="shared" si="81"/>
        <v>-4.4435703871809711</v>
      </c>
      <c r="F75" s="629">
        <f t="shared" si="84"/>
        <v>-9.4929230564016276</v>
      </c>
      <c r="G75" s="629">
        <f t="shared" si="84"/>
        <v>-1.022422927296577</v>
      </c>
      <c r="H75" s="629">
        <f t="shared" si="84"/>
        <v>2.127478753541022</v>
      </c>
      <c r="I75" s="629">
        <f t="shared" si="84"/>
        <v>4.8607523239497334</v>
      </c>
      <c r="J75" s="629">
        <f t="shared" si="84"/>
        <v>10.022341271078346</v>
      </c>
      <c r="K75" s="554"/>
      <c r="L75" s="565" t="s">
        <v>60</v>
      </c>
      <c r="M75" s="568" t="s">
        <v>71</v>
      </c>
      <c r="N75" s="628">
        <v>225</v>
      </c>
      <c r="O75" s="631">
        <f t="shared" si="79"/>
        <v>0.89389622934075241</v>
      </c>
      <c r="P75" s="631">
        <f t="shared" si="85"/>
        <v>0.44474596713404396</v>
      </c>
      <c r="Q75" s="631">
        <f t="shared" si="85"/>
        <v>-0.97846393955266908</v>
      </c>
      <c r="R75" s="632"/>
      <c r="U75" s="305"/>
      <c r="X75" s="554"/>
      <c r="Y75" s="572" t="s">
        <v>13</v>
      </c>
      <c r="Z75" s="574">
        <f>STDEVA(Z67:Z73)</f>
        <v>39.1699593347467</v>
      </c>
      <c r="AA75" s="574">
        <f t="shared" ref="AA75:AE75" si="90">STDEVA(AA67:AA73)</f>
        <v>6.7215170038993008</v>
      </c>
      <c r="AB75" s="574" t="e">
        <f t="shared" si="90"/>
        <v>#REF!</v>
      </c>
      <c r="AC75" s="574">
        <f t="shared" si="90"/>
        <v>2.9736042669328029</v>
      </c>
      <c r="AD75" s="574">
        <f>STDEVA(AD67:AD69,AD71:AD73)</f>
        <v>4.3884573839004428</v>
      </c>
      <c r="AE75" s="574">
        <f t="shared" si="90"/>
        <v>3.9922063372626777</v>
      </c>
      <c r="AF75" s="574">
        <f>STDEVA(AF67:AF69,AF71:AF73)</f>
        <v>5.4265811462684779</v>
      </c>
      <c r="AG75" s="554"/>
      <c r="AH75" s="554"/>
      <c r="AI75" s="572" t="s">
        <v>13</v>
      </c>
      <c r="AJ75" s="574">
        <f>STDEVA(AJ67:AJ73)</f>
        <v>40.824829046386306</v>
      </c>
      <c r="AK75" s="574">
        <f>STDEVA(AK67:AK73)</f>
        <v>3.415061591491892</v>
      </c>
      <c r="AL75" s="574">
        <f t="shared" ref="AL75:AM75" si="91">STDEVA(AL67:AL73)</f>
        <v>3.6033447098453442</v>
      </c>
      <c r="AM75" s="574">
        <f t="shared" si="91"/>
        <v>3.7232528526260658</v>
      </c>
    </row>
    <row r="76" spans="2:39" ht="16" thickBot="1">
      <c r="B76" s="565" t="s">
        <v>60</v>
      </c>
      <c r="C76" s="566" t="s">
        <v>72</v>
      </c>
      <c r="D76" s="628">
        <f>'[16]Lode 60+20min'!$C$26</f>
        <v>210</v>
      </c>
      <c r="E76" s="629">
        <f t="shared" si="81"/>
        <v>-0.98438476601942593</v>
      </c>
      <c r="F76" s="629">
        <f t="shared" si="84"/>
        <v>-5.7424501875312783</v>
      </c>
      <c r="G76" s="629">
        <f t="shared" si="84"/>
        <v>7.9922340847367099</v>
      </c>
      <c r="H76" s="629">
        <f t="shared" si="84"/>
        <v>16.560489048979953</v>
      </c>
      <c r="I76" s="629">
        <f t="shared" si="84"/>
        <v>-0.46095756210527983</v>
      </c>
      <c r="J76" s="629">
        <f t="shared" si="84"/>
        <v>3.0283466019645564</v>
      </c>
      <c r="K76" s="554"/>
      <c r="L76" s="565" t="s">
        <v>60</v>
      </c>
      <c r="M76" s="568" t="s">
        <v>72</v>
      </c>
      <c r="N76" s="628">
        <v>225</v>
      </c>
      <c r="O76" s="634">
        <f t="shared" si="79"/>
        <v>-2.3551677617850602</v>
      </c>
      <c r="P76" s="634">
        <f t="shared" si="85"/>
        <v>2.6643215425704843</v>
      </c>
      <c r="Q76" s="634">
        <f t="shared" si="85"/>
        <v>1.8488806553588779</v>
      </c>
      <c r="R76" s="635"/>
      <c r="U76" s="305"/>
      <c r="X76" s="554"/>
      <c r="Y76" s="572" t="s">
        <v>14</v>
      </c>
      <c r="Z76" s="574">
        <f>Z75/SQRT(COUNT(Z67:Z73))</f>
        <v>14.804853037750396</v>
      </c>
      <c r="AA76" s="574">
        <f t="shared" ref="AA76:AE76" si="92">AA75/SQRT(COUNT(AA67:AA73))</f>
        <v>2.5404946322013591</v>
      </c>
      <c r="AB76" s="574" t="e">
        <f t="shared" si="92"/>
        <v>#REF!</v>
      </c>
      <c r="AC76" s="574">
        <f t="shared" si="92"/>
        <v>1.1239167696892463</v>
      </c>
      <c r="AD76" s="574">
        <f>AD75/SQRT(COUNT(AD67:AD69,AD71:AD73))</f>
        <v>1.7915802247508725</v>
      </c>
      <c r="AE76" s="574">
        <f t="shared" si="92"/>
        <v>1.5089121644075851</v>
      </c>
      <c r="AF76" s="574">
        <f>AF75/SQRT(COUNT(AF67:AF69,AF71:AF73))</f>
        <v>2.2153924760275365</v>
      </c>
      <c r="AG76" s="554"/>
      <c r="AH76" s="554"/>
      <c r="AI76" s="572" t="s">
        <v>14</v>
      </c>
      <c r="AJ76" s="574">
        <f>AJ75/SQRT(COUNT(AJ67:AJ73))</f>
        <v>15.430334996209192</v>
      </c>
      <c r="AK76" s="574">
        <f t="shared" ref="AK76:AM76" si="93">AK75/SQRT(COUNT(AK67:AK73))</f>
        <v>1.2907719547222858</v>
      </c>
      <c r="AL76" s="574">
        <f t="shared" si="93"/>
        <v>1.3619362843272822</v>
      </c>
      <c r="AM76" s="574">
        <f t="shared" si="93"/>
        <v>1.4072573023229129</v>
      </c>
    </row>
    <row r="77" spans="2:39" ht="16" thickBot="1">
      <c r="B77" s="571" t="s">
        <v>60</v>
      </c>
      <c r="C77" s="566" t="s">
        <v>73</v>
      </c>
      <c r="D77" s="628">
        <f>'[17]Lode 60+20min'!$C$17</f>
        <v>218</v>
      </c>
      <c r="E77" s="629"/>
      <c r="F77" s="629"/>
      <c r="G77" s="629"/>
      <c r="H77" s="629"/>
      <c r="I77" s="629"/>
      <c r="J77" s="629"/>
      <c r="K77" s="554"/>
      <c r="L77" s="571" t="s">
        <v>60</v>
      </c>
      <c r="M77" s="568" t="s">
        <v>73</v>
      </c>
      <c r="N77" s="628">
        <v>225</v>
      </c>
      <c r="O77" s="631">
        <f t="shared" si="79"/>
        <v>0.22935034693366427</v>
      </c>
      <c r="P77" s="631">
        <f t="shared" si="85"/>
        <v>-0.49422518245589436</v>
      </c>
      <c r="Q77" s="631">
        <f t="shared" si="85"/>
        <v>-0.12898776926919739</v>
      </c>
      <c r="R77" s="632"/>
      <c r="U77" s="305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  <c r="AJ77" s="554"/>
      <c r="AK77" s="554"/>
      <c r="AL77" s="554"/>
      <c r="AM77" s="554"/>
    </row>
    <row r="78" spans="2:39">
      <c r="B78" s="554"/>
      <c r="C78" s="572" t="s">
        <v>76</v>
      </c>
      <c r="D78" s="636">
        <f>AVERAGE(D69:D77)</f>
        <v>215.44444444444446</v>
      </c>
      <c r="E78" s="636">
        <f>AVERAGE(E69:E76)</f>
        <v>-0.60030481907436462</v>
      </c>
      <c r="F78" s="636">
        <f t="shared" ref="F78:J78" si="94">AVERAGE(F69:F76)</f>
        <v>-1.4110997735020394</v>
      </c>
      <c r="G78" s="636">
        <f t="shared" si="94"/>
        <v>0.84783821458659259</v>
      </c>
      <c r="H78" s="636">
        <f t="shared" si="94"/>
        <v>5.7732358235726942</v>
      </c>
      <c r="I78" s="636">
        <f t="shared" si="94"/>
        <v>0.58000984933964161</v>
      </c>
      <c r="J78" s="636">
        <f t="shared" si="94"/>
        <v>0.73524038409455095</v>
      </c>
      <c r="K78" s="554"/>
      <c r="L78" s="554"/>
      <c r="M78" s="572" t="s">
        <v>76</v>
      </c>
      <c r="N78" s="574">
        <f>AVERAGE(N69:N77)</f>
        <v>219.44444444444446</v>
      </c>
      <c r="O78" s="574">
        <f t="shared" ref="O78:Q78" si="95">AVERAGE(O69:O77)</f>
        <v>-0.82492729656205732</v>
      </c>
      <c r="P78" s="574">
        <f t="shared" si="95"/>
        <v>0.90383269658039034</v>
      </c>
      <c r="Q78" s="574">
        <f t="shared" si="95"/>
        <v>0.68953789875256133</v>
      </c>
      <c r="R78" s="574"/>
      <c r="U78" s="305"/>
      <c r="X78" s="554"/>
      <c r="Y78" s="554"/>
      <c r="Z78" s="554"/>
      <c r="AA78" s="554"/>
      <c r="AB78" s="554"/>
      <c r="AC78" s="554"/>
      <c r="AD78" s="554"/>
      <c r="AE78" s="554"/>
      <c r="AF78" s="554"/>
      <c r="AG78" s="554"/>
      <c r="AH78" s="554"/>
      <c r="AI78" s="554"/>
      <c r="AJ78" s="554"/>
      <c r="AK78" s="554"/>
      <c r="AL78" s="554"/>
      <c r="AM78" s="554"/>
    </row>
    <row r="79" spans="2:39">
      <c r="B79" s="554"/>
      <c r="C79" s="572" t="s">
        <v>13</v>
      </c>
      <c r="D79" s="636">
        <f>STDEVA(D69:D77)</f>
        <v>27.582200379552408</v>
      </c>
      <c r="E79" s="636">
        <f>STDEVA(E69:E76)</f>
        <v>3.9359700913190294</v>
      </c>
      <c r="F79" s="636">
        <f t="shared" ref="F79:J79" si="96">STDEVA(F69:F76)</f>
        <v>5.0679803612511325</v>
      </c>
      <c r="G79" s="636">
        <f t="shared" si="96"/>
        <v>4.1399738798274059</v>
      </c>
      <c r="H79" s="636">
        <f t="shared" si="96"/>
        <v>11.134627927703754</v>
      </c>
      <c r="I79" s="636">
        <f t="shared" si="96"/>
        <v>3.6120502031308748</v>
      </c>
      <c r="J79" s="636">
        <f t="shared" si="96"/>
        <v>5.5784307326617517</v>
      </c>
      <c r="K79" s="554"/>
      <c r="L79" s="554"/>
      <c r="M79" s="572" t="s">
        <v>13</v>
      </c>
      <c r="N79" s="574">
        <f>STDEVA(N69:N77)</f>
        <v>30.04626062886663</v>
      </c>
      <c r="O79" s="574">
        <f t="shared" ref="O79:Q79" si="97">STDEVA(O69:O77)</f>
        <v>2.0581505856915974</v>
      </c>
      <c r="P79" s="574">
        <f t="shared" si="97"/>
        <v>3.1447097788121328</v>
      </c>
      <c r="Q79" s="574">
        <f t="shared" si="97"/>
        <v>1.6680117776490937</v>
      </c>
      <c r="R79" s="574"/>
      <c r="U79" s="305"/>
    </row>
    <row r="80" spans="2:39">
      <c r="B80" s="554"/>
      <c r="C80" s="572" t="s">
        <v>14</v>
      </c>
      <c r="D80" s="636">
        <f>D79/SQRT(COUNT(D69:D77))</f>
        <v>9.1940667931841364</v>
      </c>
      <c r="E80" s="636">
        <f t="shared" ref="E80:J80" si="98">E79/SQRT(COUNT(E69:E77))</f>
        <v>1.3915755710595601</v>
      </c>
      <c r="F80" s="636">
        <f t="shared" si="98"/>
        <v>1.7918016401804622</v>
      </c>
      <c r="G80" s="636">
        <f t="shared" si="98"/>
        <v>1.4637018021805697</v>
      </c>
      <c r="H80" s="636">
        <f t="shared" si="98"/>
        <v>3.9366854568342196</v>
      </c>
      <c r="I80" s="636">
        <f t="shared" si="98"/>
        <v>1.2770525963100439</v>
      </c>
      <c r="J80" s="636">
        <f t="shared" si="98"/>
        <v>1.9722730997222826</v>
      </c>
      <c r="K80" s="554"/>
      <c r="L80" s="554"/>
      <c r="M80" s="572" t="s">
        <v>14</v>
      </c>
      <c r="N80" s="574">
        <f>N79/SQRT(COUNT(N69:N77))</f>
        <v>10.01542020962221</v>
      </c>
      <c r="O80" s="574">
        <f t="shared" ref="O80:Q80" si="99">O79/SQRT(COUNT(O69:O77))</f>
        <v>0.68605019523053246</v>
      </c>
      <c r="P80" s="574">
        <f t="shared" si="99"/>
        <v>1.0482365929373776</v>
      </c>
      <c r="Q80" s="574">
        <f t="shared" si="99"/>
        <v>0.55600392588303127</v>
      </c>
      <c r="R80" s="574"/>
      <c r="U80" s="305"/>
    </row>
    <row r="81" spans="2:18"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</row>
  </sheetData>
  <mergeCells count="100">
    <mergeCell ref="AS2:BC2"/>
    <mergeCell ref="AJ46:AJ47"/>
    <mergeCell ref="AL46:AL47"/>
    <mergeCell ref="L23:M23"/>
    <mergeCell ref="AA46:AB46"/>
    <mergeCell ref="AC46:AD46"/>
    <mergeCell ref="AH45:AI45"/>
    <mergeCell ref="AH46:AH47"/>
    <mergeCell ref="AI46:AI47"/>
    <mergeCell ref="P45:P46"/>
    <mergeCell ref="L44:M44"/>
    <mergeCell ref="X46:X47"/>
    <mergeCell ref="X45:Y45"/>
    <mergeCell ref="L24:L25"/>
    <mergeCell ref="M24:M25"/>
    <mergeCell ref="N24:N25"/>
    <mergeCell ref="G45:H45"/>
    <mergeCell ref="I45:J45"/>
    <mergeCell ref="L45:L46"/>
    <mergeCell ref="M45:M46"/>
    <mergeCell ref="N45:N46"/>
    <mergeCell ref="B44:C44"/>
    <mergeCell ref="B45:B46"/>
    <mergeCell ref="C45:C46"/>
    <mergeCell ref="D45:D46"/>
    <mergeCell ref="E45:F45"/>
    <mergeCell ref="AJ24:AJ25"/>
    <mergeCell ref="AL24:AL25"/>
    <mergeCell ref="B23:C23"/>
    <mergeCell ref="B24:B25"/>
    <mergeCell ref="C24:C25"/>
    <mergeCell ref="D24:D25"/>
    <mergeCell ref="E24:F24"/>
    <mergeCell ref="G24:H24"/>
    <mergeCell ref="I24:J24"/>
    <mergeCell ref="AH23:AI23"/>
    <mergeCell ref="AH24:AH25"/>
    <mergeCell ref="AI24:AI25"/>
    <mergeCell ref="B3:B4"/>
    <mergeCell ref="X3:X4"/>
    <mergeCell ref="B2:C2"/>
    <mergeCell ref="X2:Y2"/>
    <mergeCell ref="D3:D4"/>
    <mergeCell ref="Y3:Y4"/>
    <mergeCell ref="C3:C4"/>
    <mergeCell ref="N3:N4"/>
    <mergeCell ref="E3:F3"/>
    <mergeCell ref="L2:M2"/>
    <mergeCell ref="L3:L4"/>
    <mergeCell ref="M3:M4"/>
    <mergeCell ref="G3:H3"/>
    <mergeCell ref="P3:P4"/>
    <mergeCell ref="I3:J3"/>
    <mergeCell ref="AC3:AD3"/>
    <mergeCell ref="AE3:AF3"/>
    <mergeCell ref="AC24:AD24"/>
    <mergeCell ref="AE24:AF24"/>
    <mergeCell ref="P24:P25"/>
    <mergeCell ref="Z3:Z4"/>
    <mergeCell ref="AA3:AB3"/>
    <mergeCell ref="X23:Y23"/>
    <mergeCell ref="X24:X25"/>
    <mergeCell ref="Y24:Y25"/>
    <mergeCell ref="Z24:Z25"/>
    <mergeCell ref="AA24:AB24"/>
    <mergeCell ref="B66:C66"/>
    <mergeCell ref="L66:M66"/>
    <mergeCell ref="B67:B68"/>
    <mergeCell ref="C67:C68"/>
    <mergeCell ref="D67:D68"/>
    <mergeCell ref="E67:F67"/>
    <mergeCell ref="G67:H67"/>
    <mergeCell ref="I67:J67"/>
    <mergeCell ref="L67:L68"/>
    <mergeCell ref="M67:M68"/>
    <mergeCell ref="AJ65:AJ66"/>
    <mergeCell ref="AL65:AL66"/>
    <mergeCell ref="Y46:Z47"/>
    <mergeCell ref="N67:N68"/>
    <mergeCell ref="P67:P68"/>
    <mergeCell ref="X64:Y64"/>
    <mergeCell ref="AH64:AI64"/>
    <mergeCell ref="X65:X66"/>
    <mergeCell ref="Y65:Y66"/>
    <mergeCell ref="Z65:Z66"/>
    <mergeCell ref="AA65:AB65"/>
    <mergeCell ref="AC65:AD65"/>
    <mergeCell ref="AE65:AF65"/>
    <mergeCell ref="AH65:AH66"/>
    <mergeCell ref="AI65:AI66"/>
    <mergeCell ref="AE46:AF46"/>
    <mergeCell ref="AY3:AZ4"/>
    <mergeCell ref="BA3:BA4"/>
    <mergeCell ref="AS23:AT24"/>
    <mergeCell ref="AU23:AU24"/>
    <mergeCell ref="AY23:AZ24"/>
    <mergeCell ref="BA23:BA24"/>
    <mergeCell ref="AS22:BC22"/>
    <mergeCell ref="AU3:AU4"/>
    <mergeCell ref="AS3:AT4"/>
  </mergeCell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topLeftCell="A31" zoomScale="56" workbookViewId="0">
      <selection activeCell="N71" sqref="N71"/>
    </sheetView>
  </sheetViews>
  <sheetFormatPr baseColWidth="10" defaultRowHeight="15.5"/>
  <cols>
    <col min="1" max="1" width="13.6640625" bestFit="1" customWidth="1"/>
  </cols>
  <sheetData>
    <row r="1" spans="1:45" ht="25.5" thickBot="1">
      <c r="A1" s="217" t="s">
        <v>158</v>
      </c>
      <c r="AC1" s="12"/>
      <c r="AE1" s="282"/>
    </row>
    <row r="2" spans="1:45" ht="16" thickBot="1">
      <c r="A2" s="1467" t="s">
        <v>156</v>
      </c>
      <c r="B2" s="1468"/>
      <c r="C2" s="1473" t="s">
        <v>159</v>
      </c>
      <c r="D2" s="1474"/>
      <c r="E2" s="1331" t="s">
        <v>151</v>
      </c>
      <c r="F2" s="1332"/>
      <c r="G2" s="1466" t="s">
        <v>153</v>
      </c>
      <c r="H2" s="1466"/>
      <c r="I2" s="1466" t="s">
        <v>154</v>
      </c>
      <c r="J2" s="1466"/>
      <c r="K2" s="1466" t="s">
        <v>155</v>
      </c>
      <c r="L2" s="1466"/>
      <c r="N2" t="s">
        <v>213</v>
      </c>
      <c r="P2" s="1467" t="s">
        <v>156</v>
      </c>
      <c r="Q2" s="1468"/>
      <c r="R2" s="1473" t="s">
        <v>159</v>
      </c>
      <c r="S2" s="1474"/>
      <c r="T2" s="1331" t="s">
        <v>151</v>
      </c>
      <c r="U2" s="1332"/>
      <c r="V2" s="1466" t="s">
        <v>153</v>
      </c>
      <c r="W2" s="1466"/>
      <c r="X2" s="1466" t="s">
        <v>154</v>
      </c>
      <c r="Y2" s="1466"/>
      <c r="Z2" s="1466" t="s">
        <v>155</v>
      </c>
      <c r="AA2" s="1466"/>
      <c r="AC2" s="12"/>
      <c r="AE2" s="282"/>
      <c r="AG2" s="1467" t="s">
        <v>296</v>
      </c>
      <c r="AH2" s="1468"/>
      <c r="AI2" s="1159"/>
      <c r="AJ2" s="1473" t="s">
        <v>159</v>
      </c>
      <c r="AK2" s="1474"/>
      <c r="AL2" s="1331" t="s">
        <v>151</v>
      </c>
      <c r="AM2" s="1332"/>
      <c r="AN2" s="1466" t="s">
        <v>153</v>
      </c>
      <c r="AO2" s="1466"/>
      <c r="AP2" s="1466" t="s">
        <v>154</v>
      </c>
      <c r="AQ2" s="1466"/>
      <c r="AR2" s="1466" t="s">
        <v>155</v>
      </c>
      <c r="AS2" s="1466"/>
    </row>
    <row r="3" spans="1:45" ht="16" thickBot="1">
      <c r="A3" s="1469"/>
      <c r="B3" s="1470"/>
      <c r="C3" s="846" t="s">
        <v>152</v>
      </c>
      <c r="D3" s="846" t="s">
        <v>152</v>
      </c>
      <c r="E3" s="846" t="s">
        <v>152</v>
      </c>
      <c r="F3" s="846" t="s">
        <v>152</v>
      </c>
      <c r="G3" s="846" t="s">
        <v>152</v>
      </c>
      <c r="H3" s="846" t="s">
        <v>152</v>
      </c>
      <c r="I3" s="846" t="s">
        <v>152</v>
      </c>
      <c r="J3" s="846" t="s">
        <v>152</v>
      </c>
      <c r="K3" s="846" t="s">
        <v>152</v>
      </c>
      <c r="L3" s="846" t="s">
        <v>152</v>
      </c>
      <c r="N3" s="714" t="s">
        <v>31</v>
      </c>
      <c r="P3" s="1469"/>
      <c r="Q3" s="1470"/>
      <c r="R3" s="841" t="s">
        <v>152</v>
      </c>
      <c r="S3" s="846" t="s">
        <v>152</v>
      </c>
      <c r="T3" s="13" t="s">
        <v>152</v>
      </c>
      <c r="U3" s="846" t="s">
        <v>152</v>
      </c>
      <c r="V3" s="13" t="s">
        <v>152</v>
      </c>
      <c r="W3" s="846" t="s">
        <v>152</v>
      </c>
      <c r="X3" s="13" t="s">
        <v>152</v>
      </c>
      <c r="Y3" s="846" t="s">
        <v>152</v>
      </c>
      <c r="Z3" s="13" t="s">
        <v>152</v>
      </c>
      <c r="AA3" s="846" t="s">
        <v>152</v>
      </c>
      <c r="AC3" s="294" t="s">
        <v>31</v>
      </c>
      <c r="AE3" s="282"/>
      <c r="AG3" s="1469"/>
      <c r="AH3" s="1470"/>
      <c r="AI3" s="714" t="s">
        <v>31</v>
      </c>
      <c r="AJ3" s="1158" t="s">
        <v>152</v>
      </c>
      <c r="AK3" s="1158" t="s">
        <v>152</v>
      </c>
      <c r="AL3" s="1158" t="s">
        <v>152</v>
      </c>
      <c r="AM3" s="1158" t="s">
        <v>152</v>
      </c>
      <c r="AN3" s="1158" t="s">
        <v>152</v>
      </c>
      <c r="AO3" s="1158" t="s">
        <v>152</v>
      </c>
      <c r="AP3" s="1158" t="s">
        <v>152</v>
      </c>
      <c r="AQ3" s="1158" t="s">
        <v>152</v>
      </c>
      <c r="AR3" s="1158" t="s">
        <v>152</v>
      </c>
      <c r="AS3" s="1158" t="s">
        <v>152</v>
      </c>
    </row>
    <row r="4" spans="1:45" ht="16" thickBot="1">
      <c r="A4" s="1471"/>
      <c r="B4" s="1472"/>
      <c r="C4" s="196" t="s">
        <v>3</v>
      </c>
      <c r="D4" s="714" t="s">
        <v>21</v>
      </c>
      <c r="E4" s="846" t="s">
        <v>3</v>
      </c>
      <c r="F4" s="714" t="s">
        <v>21</v>
      </c>
      <c r="G4" s="846" t="s">
        <v>3</v>
      </c>
      <c r="H4" s="714" t="s">
        <v>21</v>
      </c>
      <c r="I4" s="846" t="s">
        <v>3</v>
      </c>
      <c r="J4" s="714" t="s">
        <v>21</v>
      </c>
      <c r="K4" s="846" t="s">
        <v>3</v>
      </c>
      <c r="L4" s="714" t="s">
        <v>21</v>
      </c>
      <c r="N4" s="430" t="s">
        <v>2</v>
      </c>
      <c r="P4" s="1471"/>
      <c r="Q4" s="1475"/>
      <c r="R4" s="149" t="s">
        <v>3</v>
      </c>
      <c r="S4" s="714" t="s">
        <v>21</v>
      </c>
      <c r="T4" s="13" t="s">
        <v>3</v>
      </c>
      <c r="U4" s="714" t="s">
        <v>21</v>
      </c>
      <c r="V4" s="13" t="s">
        <v>3</v>
      </c>
      <c r="W4" s="714" t="s">
        <v>21</v>
      </c>
      <c r="X4" s="13" t="s">
        <v>3</v>
      </c>
      <c r="Y4" s="714" t="s">
        <v>21</v>
      </c>
      <c r="Z4" s="13" t="s">
        <v>3</v>
      </c>
      <c r="AA4" s="714" t="s">
        <v>21</v>
      </c>
      <c r="AC4" s="866" t="s">
        <v>2</v>
      </c>
      <c r="AE4" s="282"/>
      <c r="AG4" s="1471"/>
      <c r="AH4" s="1472"/>
      <c r="AI4" s="430" t="s">
        <v>2</v>
      </c>
      <c r="AJ4" s="1160" t="s">
        <v>3</v>
      </c>
      <c r="AK4" s="714" t="s">
        <v>21</v>
      </c>
      <c r="AL4" s="1158" t="s">
        <v>3</v>
      </c>
      <c r="AM4" s="714" t="s">
        <v>21</v>
      </c>
      <c r="AN4" s="1158" t="s">
        <v>3</v>
      </c>
      <c r="AO4" s="714" t="s">
        <v>21</v>
      </c>
      <c r="AP4" s="1158" t="s">
        <v>3</v>
      </c>
      <c r="AQ4" s="714" t="s">
        <v>21</v>
      </c>
      <c r="AR4" s="1158" t="s">
        <v>3</v>
      </c>
      <c r="AS4" s="714" t="s">
        <v>21</v>
      </c>
    </row>
    <row r="5" spans="1:45" ht="16" thickBot="1">
      <c r="A5" s="32" t="s">
        <v>60</v>
      </c>
      <c r="B5" s="133" t="s">
        <v>57</v>
      </c>
      <c r="C5" s="883">
        <f>'[1]Lode 60+20min'!$T$3</f>
        <v>1085.0954614274951</v>
      </c>
      <c r="D5" s="884">
        <f>C5/N5</f>
        <v>13.597687486560091</v>
      </c>
      <c r="E5" s="885">
        <f>'[1]Lode 60+20min'!$T$4</f>
        <v>846.84223274545388</v>
      </c>
      <c r="F5" s="886">
        <f>E5/N5</f>
        <v>10.612058054454309</v>
      </c>
      <c r="G5" s="887">
        <f>'[1]Lode 60+20min'!$T$5</f>
        <v>825.10757786464615</v>
      </c>
      <c r="H5" s="888">
        <f>G5/N5</f>
        <v>10.339693958203586</v>
      </c>
      <c r="I5" s="887">
        <f>'[1]Lode 60+20min'!$T$6</f>
        <v>789.47236048658385</v>
      </c>
      <c r="J5" s="886">
        <f>I5/N5</f>
        <v>9.8931373494559391</v>
      </c>
      <c r="K5" s="887">
        <f>'[1]Lode 60+20min'!$T$7</f>
        <v>745.47314581973546</v>
      </c>
      <c r="L5" s="889">
        <f>K5/N5</f>
        <v>9.3417687446082134</v>
      </c>
      <c r="N5" s="864">
        <v>79.8</v>
      </c>
      <c r="P5" s="89" t="s">
        <v>61</v>
      </c>
      <c r="Q5" s="133" t="s">
        <v>58</v>
      </c>
      <c r="R5" s="905">
        <f>'[2]Lode 60+20min'!$T$3</f>
        <v>1162.2600646676799</v>
      </c>
      <c r="S5" s="909">
        <f>R5/AC5</f>
        <v>15.706217090103783</v>
      </c>
      <c r="T5" s="910">
        <f>'[2]Lode 60+20min'!$T$4</f>
        <v>775.15384108724504</v>
      </c>
      <c r="U5" s="911">
        <f>T5/AC5</f>
        <v>10.475051906584392</v>
      </c>
      <c r="V5" s="910">
        <f>'[2]Lode 60+20min'!$T$5</f>
        <v>730.34496682038912</v>
      </c>
      <c r="W5" s="912">
        <f>V5/AC5</f>
        <v>9.8695265786539075</v>
      </c>
      <c r="X5" s="910">
        <f>'[2]Lode 60+20min'!$T$6</f>
        <v>696.15084332666072</v>
      </c>
      <c r="Y5" s="911">
        <f>X5/AC5</f>
        <v>9.4074438287386588</v>
      </c>
      <c r="Z5" s="910">
        <f>'[2]Lode 60+20min'!$T$7</f>
        <v>667.03410932937618</v>
      </c>
      <c r="AA5" s="902">
        <f>Z5/AC5</f>
        <v>9.0139744503969759</v>
      </c>
      <c r="AC5" s="864">
        <v>74</v>
      </c>
      <c r="AE5" s="282"/>
      <c r="AG5" s="32" t="s">
        <v>60</v>
      </c>
      <c r="AH5" s="133" t="s">
        <v>57</v>
      </c>
      <c r="AI5" s="864">
        <v>79.8</v>
      </c>
      <c r="AJ5" s="883">
        <f>C27-C5</f>
        <v>23.82028652567692</v>
      </c>
      <c r="AK5" s="884">
        <f>D27-D5</f>
        <v>0.17766341969049471</v>
      </c>
      <c r="AL5" s="883">
        <f>E27-E5</f>
        <v>-35.124320418434081</v>
      </c>
      <c r="AM5" s="884">
        <f t="shared" ref="AM5:AS13" si="0">F27-F5</f>
        <v>-0.52860572741058398</v>
      </c>
      <c r="AN5" s="883">
        <f t="shared" si="0"/>
        <v>-42.528363601936462</v>
      </c>
      <c r="AO5" s="884">
        <f t="shared" si="0"/>
        <v>-0.6182130356854536</v>
      </c>
      <c r="AP5" s="883">
        <f t="shared" si="0"/>
        <v>-28.270008616314385</v>
      </c>
      <c r="AQ5" s="884">
        <f t="shared" si="0"/>
        <v>-0.43720751255818158</v>
      </c>
      <c r="AR5" s="883">
        <f t="shared" si="0"/>
        <v>-5.0961178212825189</v>
      </c>
      <c r="AS5" s="884">
        <f t="shared" si="0"/>
        <v>-0.1445385831367485</v>
      </c>
    </row>
    <row r="6" spans="1:45" ht="16" thickBot="1">
      <c r="A6" s="32" t="s">
        <v>60</v>
      </c>
      <c r="B6" s="134" t="s">
        <v>59</v>
      </c>
      <c r="C6" s="890">
        <f>'[3]Lode 60+20min'!$T$3</f>
        <v>1162.8413817498165</v>
      </c>
      <c r="D6" s="884">
        <f t="shared" ref="D6:D13" si="1">C6/N6</f>
        <v>16.128174504158345</v>
      </c>
      <c r="E6" s="891">
        <f>'[3]Lode 60+20min'!$T$4</f>
        <v>800.70983922076368</v>
      </c>
      <c r="F6" s="886">
        <f t="shared" ref="F6:F13" si="2">E6/N6</f>
        <v>11.105545620260246</v>
      </c>
      <c r="G6" s="892">
        <f>'[3]Lode 60+20min'!$T$5</f>
        <v>744.98856496221799</v>
      </c>
      <c r="H6" s="888">
        <f t="shared" ref="H6:H13" si="3">G6/N6</f>
        <v>10.332712412790819</v>
      </c>
      <c r="I6" s="892">
        <f>'[3]Lode 60+20min'!$T$6</f>
        <v>734.54648181637094</v>
      </c>
      <c r="J6" s="886">
        <f t="shared" ref="J6:J13" si="4">I6/N6</f>
        <v>10.187884629908059</v>
      </c>
      <c r="K6" s="892">
        <f>'[3]Lode 60+20min'!$T$7</f>
        <v>691.76422387862544</v>
      </c>
      <c r="L6" s="889">
        <f t="shared" ref="L6:L13" si="5">K6/N6</f>
        <v>9.5945107334067341</v>
      </c>
      <c r="N6" s="865">
        <v>72.099999999999994</v>
      </c>
      <c r="P6" s="32" t="s">
        <v>61</v>
      </c>
      <c r="Q6" s="133" t="s">
        <v>63</v>
      </c>
      <c r="R6" s="905">
        <f>'[4]Lode 60+20min'!$T$3</f>
        <v>1252.2240661222093</v>
      </c>
      <c r="S6" s="909">
        <f t="shared" ref="S6:S11" si="6">R6/AC6</f>
        <v>16.921946839489316</v>
      </c>
      <c r="T6" s="892">
        <f>'[4]Lode 60+20min'!$T$4</f>
        <v>790.01494994497261</v>
      </c>
      <c r="U6" s="911">
        <f t="shared" ref="U6:U11" si="7">T6/AC6</f>
        <v>10.67587770195909</v>
      </c>
      <c r="V6" s="892">
        <f>'[4]Lode 60+20min'!$T$5</f>
        <v>721.16158379465344</v>
      </c>
      <c r="W6" s="912">
        <f t="shared" ref="W6:W11" si="8">V6/AC6</f>
        <v>9.745426808035857</v>
      </c>
      <c r="X6" s="892">
        <f>'[4]Lode 60+20min'!$T$6</f>
        <v>565.03677210710794</v>
      </c>
      <c r="Y6" s="911">
        <f t="shared" ref="Y6:Y11" si="9">X6/AC6</f>
        <v>7.6356320555014587</v>
      </c>
      <c r="Z6" s="892">
        <f>'[4]Lode 60+20min'!$T$7</f>
        <v>646.60523786694773</v>
      </c>
      <c r="AA6" s="902">
        <f t="shared" ref="AA6:AA11" si="10">Z6/AC6</f>
        <v>8.7379086198236173</v>
      </c>
      <c r="AB6" t="s">
        <v>142</v>
      </c>
      <c r="AC6" s="865">
        <v>74</v>
      </c>
      <c r="AE6" s="282"/>
      <c r="AG6" s="32" t="s">
        <v>60</v>
      </c>
      <c r="AH6" s="134" t="s">
        <v>59</v>
      </c>
      <c r="AI6" s="865">
        <v>72.099999999999994</v>
      </c>
      <c r="AJ6" s="883">
        <f>C28-C6</f>
        <v>-15.14970263795999</v>
      </c>
      <c r="AK6" s="884">
        <f t="shared" ref="AK6:AK13" si="11">D28-D6</f>
        <v>-9.8961108741352888E-2</v>
      </c>
      <c r="AL6" s="883">
        <f t="shared" ref="AL6:AL13" si="12">E28-E6</f>
        <v>-78.614787105303662</v>
      </c>
      <c r="AM6" s="884">
        <f t="shared" si="0"/>
        <v>-1.0204191940666689</v>
      </c>
      <c r="AN6" s="883">
        <f t="shared" ref="AN6:AN13" si="13">G28-G6</f>
        <v>-48.411648144721767</v>
      </c>
      <c r="AO6" s="884">
        <f t="shared" si="0"/>
        <v>-0.60398452427830129</v>
      </c>
      <c r="AP6" s="883">
        <f t="shared" ref="AP6:AP13" si="14">I28-I6</f>
        <v>-70.265908025964791</v>
      </c>
      <c r="AQ6" s="884">
        <f t="shared" si="0"/>
        <v>-0.91022298479065356</v>
      </c>
      <c r="AR6" s="883">
        <f t="shared" ref="AR6:AR13" si="15">K28-K6</f>
        <v>-24.631275940506839</v>
      </c>
      <c r="AS6" s="884">
        <f t="shared" si="0"/>
        <v>-0.27701146052798187</v>
      </c>
    </row>
    <row r="7" spans="1:45" ht="16" thickBot="1">
      <c r="A7" s="32" t="s">
        <v>60</v>
      </c>
      <c r="B7" s="133" t="s">
        <v>62</v>
      </c>
      <c r="C7" s="883">
        <f>'[5]Lode 60+20min'!$T$3</f>
        <v>961.60301345675555</v>
      </c>
      <c r="D7" s="884">
        <f t="shared" si="1"/>
        <v>13.208832602427961</v>
      </c>
      <c r="E7" s="891">
        <f>'[5]Lode 60+20min'!$T$4</f>
        <v>660.52542952134797</v>
      </c>
      <c r="F7" s="886">
        <f t="shared" si="2"/>
        <v>9.0731515044141204</v>
      </c>
      <c r="G7" s="892">
        <f>'[5]Lode 60+20min'!$T$5</f>
        <v>642.00655747913152</v>
      </c>
      <c r="H7" s="888">
        <f t="shared" si="3"/>
        <v>8.8187713939441146</v>
      </c>
      <c r="I7" s="892">
        <f>'[5]Lode 60+20min'!$T$6</f>
        <v>672.31305466563902</v>
      </c>
      <c r="J7" s="886">
        <f t="shared" si="4"/>
        <v>9.2350694322203157</v>
      </c>
      <c r="K7" s="892">
        <f>'[5]Lode 60+20min'!$T$7</f>
        <v>630.20522411497848</v>
      </c>
      <c r="L7" s="889">
        <f t="shared" si="5"/>
        <v>8.6566651664145393</v>
      </c>
      <c r="M7" t="s">
        <v>160</v>
      </c>
      <c r="N7" s="866">
        <v>72.8</v>
      </c>
      <c r="P7" s="32" t="s">
        <v>61</v>
      </c>
      <c r="Q7" s="133" t="s">
        <v>65</v>
      </c>
      <c r="R7" s="891">
        <f>'[6]Lode 60+20min'!$T$3</f>
        <v>1134.9562425026998</v>
      </c>
      <c r="S7" s="909">
        <f t="shared" si="6"/>
        <v>13.527487991688911</v>
      </c>
      <c r="T7" s="892">
        <f>'[6]Lode 60+20min'!$T$4</f>
        <v>682.50222045212433</v>
      </c>
      <c r="U7" s="911">
        <f t="shared" si="7"/>
        <v>8.1347106132553542</v>
      </c>
      <c r="V7" s="892">
        <f>'[6]Lode 60+20min'!$T$5</f>
        <v>690.09454709845113</v>
      </c>
      <c r="W7" s="912">
        <f t="shared" si="8"/>
        <v>8.2252031835333863</v>
      </c>
      <c r="X7" s="892">
        <f>'[6]Lode 60+20min'!$T$6</f>
        <v>749.72888902303021</v>
      </c>
      <c r="Y7" s="911">
        <f t="shared" si="9"/>
        <v>8.9359819907393341</v>
      </c>
      <c r="Z7" s="892">
        <f>'[6]Lode 60+20min'!$T$7</f>
        <v>760.66461195611078</v>
      </c>
      <c r="AA7" s="902">
        <f t="shared" si="10"/>
        <v>9.0663243379750984</v>
      </c>
      <c r="AC7" s="865">
        <v>83.9</v>
      </c>
      <c r="AE7" s="282"/>
      <c r="AG7" s="32" t="s">
        <v>60</v>
      </c>
      <c r="AH7" s="133" t="s">
        <v>62</v>
      </c>
      <c r="AI7" s="866">
        <v>72.8</v>
      </c>
      <c r="AJ7" s="883">
        <f t="shared" ref="AJ7:AJ13" si="16">C29-C7</f>
        <v>91.172575308961655</v>
      </c>
      <c r="AK7" s="884">
        <f t="shared" si="11"/>
        <v>0.96042162052920332</v>
      </c>
      <c r="AL7" s="883">
        <f t="shared" si="12"/>
        <v>-247.70639875962922</v>
      </c>
      <c r="AM7" s="884">
        <f t="shared" si="0"/>
        <v>-3.5170407270020236</v>
      </c>
      <c r="AN7" s="883">
        <f t="shared" si="13"/>
        <v>-261.64345933460027</v>
      </c>
      <c r="AO7" s="884">
        <f t="shared" si="0"/>
        <v>-3.6994833973824557</v>
      </c>
      <c r="AP7" s="883">
        <f t="shared" si="14"/>
        <v>-338.02197800548277</v>
      </c>
      <c r="AQ7" s="884">
        <f t="shared" si="0"/>
        <v>-4.7358624785170012</v>
      </c>
      <c r="AR7" s="883">
        <f t="shared" si="15"/>
        <v>-258.24001415404098</v>
      </c>
      <c r="AS7" s="884">
        <f t="shared" si="0"/>
        <v>-3.6504039287168606</v>
      </c>
    </row>
    <row r="8" spans="1:45" ht="16" thickBot="1">
      <c r="A8" s="32" t="s">
        <v>60</v>
      </c>
      <c r="B8" s="133" t="s">
        <v>64</v>
      </c>
      <c r="C8" s="883">
        <f>'[7]Lode 60+20min'!$T$3</f>
        <v>1106.8995454935769</v>
      </c>
      <c r="D8" s="884">
        <f t="shared" si="1"/>
        <v>17.514233314771786</v>
      </c>
      <c r="E8" s="891">
        <f>'[7]Lode 60+20min'!$T$4</f>
        <v>677.04430756070258</v>
      </c>
      <c r="F8" s="886">
        <f t="shared" si="2"/>
        <v>10.712726385454154</v>
      </c>
      <c r="G8" s="892">
        <f>'[7]Lode 60+20min'!$T$5</f>
        <v>619.63065794526358</v>
      </c>
      <c r="H8" s="888">
        <f t="shared" si="3"/>
        <v>9.8042825624250565</v>
      </c>
      <c r="I8" s="893"/>
      <c r="J8" s="886"/>
      <c r="K8" s="893"/>
      <c r="L8" s="889"/>
      <c r="M8" t="s">
        <v>118</v>
      </c>
      <c r="N8" s="865">
        <v>63.2</v>
      </c>
      <c r="P8" s="33" t="s">
        <v>61</v>
      </c>
      <c r="Q8" s="133" t="s">
        <v>66</v>
      </c>
      <c r="R8" s="905">
        <f>'[8]Lode 60+20min'!$T$3</f>
        <v>1479.9855432731642</v>
      </c>
      <c r="S8" s="909">
        <f t="shared" si="6"/>
        <v>17.249248756097487</v>
      </c>
      <c r="T8" s="892">
        <f>'[8]Lode 60+20min'!$T$4</f>
        <v>766.4832234115288</v>
      </c>
      <c r="U8" s="911">
        <f t="shared" si="7"/>
        <v>8.9333709022322711</v>
      </c>
      <c r="V8" s="892">
        <f>'[8]Lode 60+20min'!$T$5</f>
        <v>774.91989051524729</v>
      </c>
      <c r="W8" s="912">
        <f t="shared" si="8"/>
        <v>9.0317003556555626</v>
      </c>
      <c r="X8" s="892">
        <f>'[8]Lode 60+20min'!$T$6</f>
        <v>732.58569364213736</v>
      </c>
      <c r="Y8" s="911">
        <f t="shared" si="9"/>
        <v>8.5382947976939096</v>
      </c>
      <c r="Z8" s="892">
        <f>'[8]Lode 60+20min'!$T$7</f>
        <v>748.81100713470335</v>
      </c>
      <c r="AA8" s="902">
        <f t="shared" si="10"/>
        <v>8.7274010155559836</v>
      </c>
      <c r="AC8" s="865">
        <v>85.8</v>
      </c>
      <c r="AE8" s="282"/>
      <c r="AG8" s="32" t="s">
        <v>60</v>
      </c>
      <c r="AH8" s="133" t="s">
        <v>64</v>
      </c>
      <c r="AI8" s="865">
        <v>63.2</v>
      </c>
      <c r="AJ8" s="883">
        <f t="shared" si="16"/>
        <v>50.94200247120898</v>
      </c>
      <c r="AK8" s="884">
        <f t="shared" si="11"/>
        <v>0.52068176256132404</v>
      </c>
      <c r="AL8" s="883">
        <f t="shared" si="12"/>
        <v>7.9591338989249607</v>
      </c>
      <c r="AM8" s="884">
        <f t="shared" si="0"/>
        <v>-4.2890848699832063E-2</v>
      </c>
      <c r="AN8" s="883">
        <f t="shared" si="13"/>
        <v>1.9460743686794331</v>
      </c>
      <c r="AO8" s="884">
        <f t="shared" si="0"/>
        <v>-0.12240199678731578</v>
      </c>
      <c r="AP8" s="883">
        <f t="shared" si="14"/>
        <v>0</v>
      </c>
      <c r="AQ8" s="884">
        <f t="shared" si="0"/>
        <v>0</v>
      </c>
      <c r="AR8" s="883">
        <f t="shared" si="15"/>
        <v>455.62916589001406</v>
      </c>
      <c r="AS8" s="884">
        <f t="shared" si="0"/>
        <v>0</v>
      </c>
    </row>
    <row r="9" spans="1:45" ht="16" thickBot="1">
      <c r="A9" s="33" t="s">
        <v>60</v>
      </c>
      <c r="B9" s="133" t="s">
        <v>67</v>
      </c>
      <c r="C9" s="883">
        <f>'[9]Lode 60+20min'!$T$3</f>
        <v>1053.0774127167774</v>
      </c>
      <c r="D9" s="884">
        <f t="shared" si="1"/>
        <v>14.250032648400234</v>
      </c>
      <c r="E9" s="891">
        <f>'[9]Lode 60+20min'!$T$4</f>
        <v>730.09149488004266</v>
      </c>
      <c r="F9" s="886">
        <f t="shared" si="2"/>
        <v>9.8794518928287225</v>
      </c>
      <c r="G9" s="892">
        <f>'[9]Lode 60+20min'!$T$5</f>
        <v>740.3875515057922</v>
      </c>
      <c r="H9" s="888">
        <f t="shared" si="3"/>
        <v>10.018776069090556</v>
      </c>
      <c r="I9" s="892">
        <f>'[9]Lode 60+20min'!$T$6</f>
        <v>695.73523519474884</v>
      </c>
      <c r="J9" s="886">
        <f t="shared" si="4"/>
        <v>9.4145498673173051</v>
      </c>
      <c r="K9" s="892">
        <f>'[9]Lode 60+20min'!$T$7</f>
        <v>675.12401855930818</v>
      </c>
      <c r="L9" s="889">
        <f t="shared" si="5"/>
        <v>9.1356430116279856</v>
      </c>
      <c r="N9" s="865">
        <v>73.900000000000006</v>
      </c>
      <c r="P9" s="32" t="s">
        <v>61</v>
      </c>
      <c r="Q9" s="133" t="s">
        <v>69</v>
      </c>
      <c r="R9" s="905">
        <f>'[10]Lode 60+20min'!$T$3</f>
        <v>849.9955725635723</v>
      </c>
      <c r="S9" s="909">
        <f t="shared" si="6"/>
        <v>11.971768627655948</v>
      </c>
      <c r="T9" s="892">
        <f>'[10]Lode 60+20min'!$T$4</f>
        <v>609.62239045711385</v>
      </c>
      <c r="U9" s="911">
        <f t="shared" si="7"/>
        <v>8.5862308515086454</v>
      </c>
      <c r="V9" s="892">
        <f>'[10]Lode 60+20min'!$T$5</f>
        <v>591.69339474236449</v>
      </c>
      <c r="W9" s="912">
        <f t="shared" si="8"/>
        <v>8.333709785103725</v>
      </c>
      <c r="X9" s="892">
        <f>'[10]Lode 60+20min'!$T$6</f>
        <v>600.899807049164</v>
      </c>
      <c r="Y9" s="911">
        <f t="shared" si="9"/>
        <v>8.4633775640727329</v>
      </c>
      <c r="Z9" s="892">
        <f>'[10]Lode 60+20min'!$T$7</f>
        <v>604.83264510665413</v>
      </c>
      <c r="AA9" s="902">
        <f t="shared" si="10"/>
        <v>8.518769649389494</v>
      </c>
      <c r="AC9" s="865">
        <v>71</v>
      </c>
      <c r="AE9" s="282"/>
      <c r="AG9" s="33" t="s">
        <v>60</v>
      </c>
      <c r="AH9" s="133" t="s">
        <v>67</v>
      </c>
      <c r="AI9" s="865">
        <v>73.900000000000006</v>
      </c>
      <c r="AJ9" s="883">
        <f t="shared" si="16"/>
        <v>-23.982858654686197</v>
      </c>
      <c r="AK9" s="884">
        <f t="shared" si="11"/>
        <v>-0.36211693906026987</v>
      </c>
      <c r="AL9" s="883">
        <f t="shared" si="12"/>
        <v>-29.700978556562291</v>
      </c>
      <c r="AM9" s="884">
        <f t="shared" si="0"/>
        <v>-0.4274881097858021</v>
      </c>
      <c r="AN9" s="883">
        <f t="shared" si="13"/>
        <v>-53.126633731650713</v>
      </c>
      <c r="AO9" s="884">
        <f t="shared" si="0"/>
        <v>-0.74399985081604214</v>
      </c>
      <c r="AP9" s="883">
        <f t="shared" si="14"/>
        <v>-42.79773452085908</v>
      </c>
      <c r="AQ9" s="884">
        <f t="shared" si="0"/>
        <v>-0.60297765849288076</v>
      </c>
      <c r="AR9" s="883">
        <f t="shared" si="15"/>
        <v>22.301861973436075</v>
      </c>
      <c r="AS9" s="884">
        <f t="shared" si="0"/>
        <v>0.27631219124305773</v>
      </c>
    </row>
    <row r="10" spans="1:45" ht="16" thickBot="1">
      <c r="A10" s="32" t="s">
        <v>60</v>
      </c>
      <c r="B10" s="133" t="s">
        <v>68</v>
      </c>
      <c r="C10" s="883">
        <f>'[11]Lode 60+20min'!$T$3</f>
        <v>1048.8249045559594</v>
      </c>
      <c r="D10" s="884">
        <f t="shared" si="1"/>
        <v>13.782193226753739</v>
      </c>
      <c r="E10" s="891">
        <f>'[11]Lode 60+20min'!$T$4</f>
        <v>758.89648975841101</v>
      </c>
      <c r="F10" s="886">
        <f t="shared" si="2"/>
        <v>9.9723586039213021</v>
      </c>
      <c r="G10" s="892">
        <f>'[11]Lode 60+20min'!$T$5</f>
        <v>732.69336170090003</v>
      </c>
      <c r="H10" s="888">
        <f t="shared" si="3"/>
        <v>9.6280336622982929</v>
      </c>
      <c r="I10" s="892">
        <f>'[11]Lode 60+20min'!$T$6</f>
        <v>692.71450274540246</v>
      </c>
      <c r="J10" s="886">
        <f t="shared" si="4"/>
        <v>9.1026872896899143</v>
      </c>
      <c r="K10" s="892">
        <f>'[11]Lode 60+20min'!$T$7</f>
        <v>666.62925839303625</v>
      </c>
      <c r="L10" s="889">
        <f t="shared" si="5"/>
        <v>8.7599114112094121</v>
      </c>
      <c r="M10" t="s">
        <v>165</v>
      </c>
      <c r="N10" s="865">
        <v>76.099999999999994</v>
      </c>
      <c r="P10" s="32" t="s">
        <v>61</v>
      </c>
      <c r="Q10" s="133" t="s">
        <v>70</v>
      </c>
      <c r="R10" s="905">
        <f>'[13]Lode 60+20min'!$T$3</f>
        <v>656.05739532324276</v>
      </c>
      <c r="S10" s="909">
        <f t="shared" si="6"/>
        <v>10.755039267594144</v>
      </c>
      <c r="T10" s="892">
        <f>'[13]Lode 60+20min'!$T$4</f>
        <v>512.13033542893822</v>
      </c>
      <c r="U10" s="911">
        <f t="shared" si="7"/>
        <v>8.3955792693268556</v>
      </c>
      <c r="V10" s="892">
        <f>'[13]Lode 60+20min'!$T$5</f>
        <v>515.95933141928174</v>
      </c>
      <c r="W10" s="912">
        <f t="shared" si="8"/>
        <v>8.458349695398061</v>
      </c>
      <c r="X10" s="892">
        <f>'[13]Lode 60+20min'!$T$6</f>
        <v>520.05972811960771</v>
      </c>
      <c r="Y10" s="911">
        <f t="shared" si="9"/>
        <v>8.5255693134361916</v>
      </c>
      <c r="Z10" s="892">
        <f>'[13]Lode 60+20min'!$T$7</f>
        <v>491.6073605934539</v>
      </c>
      <c r="AA10" s="902">
        <f t="shared" si="10"/>
        <v>8.0591370589090801</v>
      </c>
      <c r="AC10" s="865">
        <v>61</v>
      </c>
      <c r="AE10" s="282"/>
      <c r="AG10" s="32" t="s">
        <v>60</v>
      </c>
      <c r="AH10" s="133" t="s">
        <v>68</v>
      </c>
      <c r="AI10" s="865">
        <v>76.099999999999994</v>
      </c>
      <c r="AJ10" s="883">
        <f t="shared" si="16"/>
        <v>15.73318993237217</v>
      </c>
      <c r="AK10" s="884">
        <f t="shared" si="11"/>
        <v>0.11543202766312355</v>
      </c>
      <c r="AL10" s="883">
        <f t="shared" si="12"/>
        <v>3.3839575690105903</v>
      </c>
      <c r="AM10" s="884">
        <f t="shared" si="0"/>
        <v>-2.0916732806137261E-2</v>
      </c>
      <c r="AN10" s="883">
        <f t="shared" si="13"/>
        <v>-36.018628604611536</v>
      </c>
      <c r="AO10" s="884">
        <f t="shared" si="0"/>
        <v>-0.53306325634152429</v>
      </c>
      <c r="AP10" s="883">
        <f t="shared" si="14"/>
        <v>-11.287103820501216</v>
      </c>
      <c r="AQ10" s="884">
        <f t="shared" si="0"/>
        <v>-0.20676824367292568</v>
      </c>
      <c r="AR10" s="883">
        <f t="shared" si="15"/>
        <v>-28.712510244399368</v>
      </c>
      <c r="AS10" s="884">
        <f t="shared" si="0"/>
        <v>-0.43201652676245494</v>
      </c>
    </row>
    <row r="11" spans="1:45" ht="16" thickBot="1">
      <c r="A11" s="32" t="s">
        <v>60</v>
      </c>
      <c r="B11" s="133" t="s">
        <v>71</v>
      </c>
      <c r="C11" s="883">
        <f>'[14]Lode 60+20min'!$T$3</f>
        <v>1085.7960191083068</v>
      </c>
      <c r="D11" s="884">
        <f t="shared" si="1"/>
        <v>13.902637888710716</v>
      </c>
      <c r="E11" s="891">
        <f>'[14]Lode 60+20min'!$T$4</f>
        <v>814.84942271405737</v>
      </c>
      <c r="F11" s="886">
        <f t="shared" si="2"/>
        <v>10.433411302356689</v>
      </c>
      <c r="G11" s="892">
        <f>'[14]Lode 60+20min'!$T$5</f>
        <v>787.36129276733323</v>
      </c>
      <c r="H11" s="888">
        <f t="shared" si="3"/>
        <v>10.081450611617583</v>
      </c>
      <c r="I11" s="892">
        <f>'[14]Lode 60+20min'!$T$6</f>
        <v>778.08187546235513</v>
      </c>
      <c r="J11" s="886">
        <f t="shared" si="4"/>
        <v>9.9626360494539714</v>
      </c>
      <c r="K11" s="892">
        <f>'[14]Lode 60+20min'!$T$7</f>
        <v>752.20683793676289</v>
      </c>
      <c r="L11" s="889">
        <f t="shared" si="5"/>
        <v>9.6313295510469015</v>
      </c>
      <c r="N11" s="865">
        <v>78.099999999999994</v>
      </c>
      <c r="P11" s="53" t="s">
        <v>61</v>
      </c>
      <c r="Q11" s="133" t="s">
        <v>74</v>
      </c>
      <c r="R11" s="907">
        <f>'[15]Lode 60+20min'!$T$3</f>
        <v>994.06600150764757</v>
      </c>
      <c r="S11" s="909">
        <f t="shared" si="6"/>
        <v>15.153445144933654</v>
      </c>
      <c r="T11" s="914">
        <f>'[15]Lode 60+20min'!$T$4</f>
        <v>629.57791858480266</v>
      </c>
      <c r="U11" s="911">
        <f t="shared" si="7"/>
        <v>9.5972243686707728</v>
      </c>
      <c r="V11" s="915">
        <f>'[35]%change Sprints'!$AG$46</f>
        <v>663.17875997221472</v>
      </c>
      <c r="W11" s="912">
        <f t="shared" si="8"/>
        <v>10.109432316649615</v>
      </c>
      <c r="X11" s="895">
        <f>'[15]Lode 60+20min'!$T$6</f>
        <v>619.63606360417305</v>
      </c>
      <c r="Y11" s="911">
        <f t="shared" si="9"/>
        <v>9.4456717012831266</v>
      </c>
      <c r="Z11" s="895">
        <f>'[15]Lode 60+20min'!$T$7</f>
        <v>541.69727196426209</v>
      </c>
      <c r="AA11" s="902">
        <f t="shared" si="10"/>
        <v>8.2575803653088737</v>
      </c>
      <c r="AB11" s="185" t="s">
        <v>118</v>
      </c>
      <c r="AC11" s="867">
        <v>65.599999999999994</v>
      </c>
      <c r="AE11" s="282"/>
      <c r="AG11" s="32" t="s">
        <v>60</v>
      </c>
      <c r="AH11" s="133" t="s">
        <v>71</v>
      </c>
      <c r="AI11" s="865">
        <v>78.099999999999994</v>
      </c>
      <c r="AJ11" s="883">
        <f t="shared" si="16"/>
        <v>162.69374596970169</v>
      </c>
      <c r="AK11" s="884">
        <f t="shared" si="11"/>
        <v>1.9010300236691382</v>
      </c>
      <c r="AL11" s="883">
        <f t="shared" si="12"/>
        <v>-9.3804818755540964</v>
      </c>
      <c r="AM11" s="884">
        <f t="shared" si="0"/>
        <v>-0.23760192465411478</v>
      </c>
      <c r="AN11" s="883">
        <f t="shared" si="13"/>
        <v>13.822560901243946</v>
      </c>
      <c r="AO11" s="884">
        <f t="shared" si="0"/>
        <v>6.0117156339089206E-2</v>
      </c>
      <c r="AP11" s="883">
        <f t="shared" si="14"/>
        <v>-19.959052002334943</v>
      </c>
      <c r="AQ11" s="884">
        <f t="shared" si="0"/>
        <v>-0.36614461325118342</v>
      </c>
      <c r="AR11" s="883">
        <f t="shared" si="15"/>
        <v>-27.700003242482694</v>
      </c>
      <c r="AS11" s="884">
        <f t="shared" si="0"/>
        <v>-0.46035695998006432</v>
      </c>
    </row>
    <row r="12" spans="1:45" ht="16" thickBot="1">
      <c r="A12" s="32" t="s">
        <v>60</v>
      </c>
      <c r="B12" s="133" t="s">
        <v>72</v>
      </c>
      <c r="C12" s="883">
        <f>'[16]Lode 60+20min'!$T$3</f>
        <v>845.53437481397964</v>
      </c>
      <c r="D12" s="884">
        <f t="shared" si="1"/>
        <v>11.925731661692236</v>
      </c>
      <c r="E12" s="891">
        <f>'[16]Lode 60+20min'!$T$5</f>
        <v>713.9093169247293</v>
      </c>
      <c r="F12" s="886">
        <f t="shared" si="2"/>
        <v>10.069242833917196</v>
      </c>
      <c r="G12" s="892">
        <f>'[16]Lode 60+20min'!$T$6</f>
        <v>703.0359100952079</v>
      </c>
      <c r="H12" s="888">
        <f t="shared" si="3"/>
        <v>9.9158802552215484</v>
      </c>
      <c r="I12" s="892">
        <f>'[16]Lode 60+20min'!$T$7</f>
        <v>701.38271807886076</v>
      </c>
      <c r="J12" s="886">
        <f t="shared" si="4"/>
        <v>9.8925630194479641</v>
      </c>
      <c r="K12" s="892">
        <f>'[16]Lode 60+20min'!$T$8</f>
        <v>732.68751971027427</v>
      </c>
      <c r="L12" s="889">
        <f t="shared" si="5"/>
        <v>10.334097598170299</v>
      </c>
      <c r="N12" s="865">
        <v>70.900000000000006</v>
      </c>
      <c r="Q12" s="16" t="s">
        <v>76</v>
      </c>
      <c r="R12" s="124">
        <f>AVERAGE(R5:R11)</f>
        <v>1075.6492694228878</v>
      </c>
      <c r="S12" s="124">
        <f t="shared" ref="S12:T12" si="17">AVERAGE(S5:S11)</f>
        <v>14.469307673937607</v>
      </c>
      <c r="T12" s="124">
        <f t="shared" si="17"/>
        <v>680.78355419524644</v>
      </c>
      <c r="U12" s="124">
        <f t="shared" ref="U12:AA12" si="18">AVERAGE(U5:U11)</f>
        <v>9.2568636590767674</v>
      </c>
      <c r="V12" s="124">
        <f t="shared" si="18"/>
        <v>669.62178205180032</v>
      </c>
      <c r="W12" s="124">
        <f t="shared" si="18"/>
        <v>9.1104783890043031</v>
      </c>
      <c r="X12" s="124">
        <f t="shared" si="18"/>
        <v>640.58539955312585</v>
      </c>
      <c r="Y12" s="124">
        <f t="shared" si="18"/>
        <v>8.7074244644950589</v>
      </c>
      <c r="Z12" s="124">
        <f t="shared" si="18"/>
        <v>637.32174913592974</v>
      </c>
      <c r="AA12" s="124">
        <f t="shared" si="18"/>
        <v>8.6258707853370176</v>
      </c>
      <c r="AC12" s="12"/>
      <c r="AE12" s="282"/>
      <c r="AG12" s="32" t="s">
        <v>60</v>
      </c>
      <c r="AH12" s="133" t="s">
        <v>72</v>
      </c>
      <c r="AI12" s="865">
        <v>70.900000000000006</v>
      </c>
      <c r="AJ12" s="883">
        <f t="shared" si="16"/>
        <v>242.41044432249555</v>
      </c>
      <c r="AK12" s="884">
        <f t="shared" si="11"/>
        <v>3.1846130485365869</v>
      </c>
      <c r="AL12" s="883">
        <f t="shared" si="12"/>
        <v>14.365164610926627</v>
      </c>
      <c r="AM12" s="884">
        <f t="shared" si="0"/>
        <v>4.5680520744692643E-2</v>
      </c>
      <c r="AN12" s="883">
        <f t="shared" si="13"/>
        <v>17.855287496987557</v>
      </c>
      <c r="AO12" s="884">
        <f t="shared" si="0"/>
        <v>9.6497489114499402E-2</v>
      </c>
      <c r="AP12" s="883">
        <f t="shared" si="14"/>
        <v>-12.22468317661594</v>
      </c>
      <c r="AQ12" s="884">
        <f t="shared" si="0"/>
        <v>-0.32092364580567434</v>
      </c>
      <c r="AR12" s="883">
        <f t="shared" si="15"/>
        <v>-58.732022118506961</v>
      </c>
      <c r="AS12" s="884">
        <f t="shared" si="0"/>
        <v>-0.97360457606241901</v>
      </c>
    </row>
    <row r="13" spans="1:45" ht="16" thickBot="1">
      <c r="A13" s="53" t="s">
        <v>60</v>
      </c>
      <c r="B13" s="133" t="s">
        <v>73</v>
      </c>
      <c r="C13" s="883">
        <f>'[17]Lode 60+20min'!$T$3</f>
        <v>978.0010270918367</v>
      </c>
      <c r="D13" s="884">
        <f t="shared" si="1"/>
        <v>13.716704447290837</v>
      </c>
      <c r="E13" s="894">
        <f>'[17]Lode 60+20min'!$T$4</f>
        <v>707.00600135766024</v>
      </c>
      <c r="F13" s="886">
        <f t="shared" si="2"/>
        <v>9.915932697863397</v>
      </c>
      <c r="G13" s="895">
        <f>'[17]Lode 60+20min'!$T$5</f>
        <v>671.67359078161076</v>
      </c>
      <c r="H13" s="888">
        <f t="shared" si="3"/>
        <v>9.4203869674840224</v>
      </c>
      <c r="I13" s="895">
        <f>'[17]Lode 60+20min'!$T$6</f>
        <v>653.96583029726469</v>
      </c>
      <c r="J13" s="886">
        <f t="shared" si="4"/>
        <v>9.1720312804665465</v>
      </c>
      <c r="K13" s="895">
        <f>'[17]Lode 60+20min'!$T$7</f>
        <v>667.11441568197631</v>
      </c>
      <c r="L13" s="889">
        <f t="shared" si="5"/>
        <v>9.356443417699527</v>
      </c>
      <c r="N13" s="867">
        <v>71.3</v>
      </c>
      <c r="Q13" s="16" t="s">
        <v>13</v>
      </c>
      <c r="R13" s="124">
        <f>STDEVA(R5:R11)</f>
        <v>270.59132451288303</v>
      </c>
      <c r="S13" s="124">
        <f t="shared" ref="S13:T13" si="19">STDEVA(S5:S11)</f>
        <v>2.4719093725173087</v>
      </c>
      <c r="T13" s="124">
        <f t="shared" si="19"/>
        <v>103.5329838956858</v>
      </c>
      <c r="U13" s="124">
        <f t="shared" ref="U13:AA13" si="20">STDEVA(U5:U11)</f>
        <v>1.0139742811900492</v>
      </c>
      <c r="V13" s="124">
        <f t="shared" si="20"/>
        <v>89.047718390503363</v>
      </c>
      <c r="W13" s="124">
        <f t="shared" si="20"/>
        <v>0.79538062833559053</v>
      </c>
      <c r="X13" s="124">
        <f t="shared" si="20"/>
        <v>87.284713686926452</v>
      </c>
      <c r="Y13" s="124">
        <f t="shared" si="20"/>
        <v>0.62679723375866592</v>
      </c>
      <c r="Z13" s="124">
        <f t="shared" si="20"/>
        <v>100.03715102597907</v>
      </c>
      <c r="AA13" s="124">
        <f t="shared" si="20"/>
        <v>0.37322474336202466</v>
      </c>
      <c r="AC13" s="12"/>
      <c r="AE13" s="282"/>
      <c r="AG13" s="53" t="s">
        <v>60</v>
      </c>
      <c r="AH13" s="133" t="s">
        <v>73</v>
      </c>
      <c r="AI13" s="867">
        <v>71.3</v>
      </c>
      <c r="AJ13" s="883">
        <f t="shared" si="16"/>
        <v>18.063862802246717</v>
      </c>
      <c r="AK13" s="884">
        <f t="shared" si="11"/>
        <v>0.35200868680638742</v>
      </c>
      <c r="AL13" s="883">
        <f t="shared" si="12"/>
        <v>-85.500606270274602</v>
      </c>
      <c r="AM13" s="884">
        <f t="shared" si="0"/>
        <v>-1.1376079084935427</v>
      </c>
      <c r="AN13" s="883">
        <f t="shared" si="13"/>
        <v>-38.36843039529856</v>
      </c>
      <c r="AO13" s="884">
        <f t="shared" si="0"/>
        <v>-0.47539882643441445</v>
      </c>
      <c r="AP13" s="883">
        <f t="shared" si="14"/>
        <v>23.428466767555051</v>
      </c>
      <c r="AQ13" s="884">
        <f t="shared" si="0"/>
        <v>0.39568477977102035</v>
      </c>
      <c r="AR13" s="883">
        <f t="shared" si="15"/>
        <v>41.084737368553078</v>
      </c>
      <c r="AS13" s="884">
        <f t="shared" si="0"/>
        <v>0.64636947849439075</v>
      </c>
    </row>
    <row r="14" spans="1:45">
      <c r="A14" s="51"/>
      <c r="B14" s="16" t="s">
        <v>76</v>
      </c>
      <c r="C14" s="124">
        <f>AVERAGE(C5:C13)</f>
        <v>1036.4081267127228</v>
      </c>
      <c r="D14" s="124">
        <f>AVERAGE(D5:D13)</f>
        <v>14.225136420085104</v>
      </c>
      <c r="E14" s="124">
        <f t="shared" ref="E14:L14" si="21">AVERAGE(E5:E13)</f>
        <v>745.54161496479662</v>
      </c>
      <c r="F14" s="124">
        <f>AVERAGE(F5:F13)</f>
        <v>10.197097655052238</v>
      </c>
      <c r="G14" s="124">
        <f t="shared" si="21"/>
        <v>718.5427850113449</v>
      </c>
      <c r="H14" s="124">
        <f t="shared" si="21"/>
        <v>9.8177764325639529</v>
      </c>
      <c r="I14" s="124">
        <f t="shared" si="21"/>
        <v>714.7765073434033</v>
      </c>
      <c r="J14" s="124">
        <f t="shared" si="21"/>
        <v>9.6075698647450007</v>
      </c>
      <c r="K14" s="124">
        <f t="shared" si="21"/>
        <v>695.15058051183723</v>
      </c>
      <c r="L14" s="124">
        <f t="shared" si="21"/>
        <v>9.3512962042729519</v>
      </c>
      <c r="Q14" s="16" t="s">
        <v>14</v>
      </c>
      <c r="R14" s="124">
        <f>R13/SQRT(COUNT(R5:R11))</f>
        <v>102.27390737038063</v>
      </c>
      <c r="S14" s="124">
        <f t="shared" ref="S14:T14" si="22">S13/SQRT(COUNT(S5:S11))</f>
        <v>0.9342939233100741</v>
      </c>
      <c r="T14" s="124">
        <f t="shared" si="22"/>
        <v>39.13178969720569</v>
      </c>
      <c r="U14" s="124">
        <f t="shared" ref="U14:AA14" si="23">U13/SQRT(COUNT(U5:U11))</f>
        <v>0.38324625483490693</v>
      </c>
      <c r="V14" s="124">
        <f t="shared" si="23"/>
        <v>33.656873954140671</v>
      </c>
      <c r="W14" s="124">
        <f t="shared" si="23"/>
        <v>0.3006256200306095</v>
      </c>
      <c r="X14" s="124">
        <f t="shared" si="23"/>
        <v>32.990520810440437</v>
      </c>
      <c r="Y14" s="124">
        <f t="shared" si="23"/>
        <v>0.23690708614123557</v>
      </c>
      <c r="Z14" s="124">
        <f t="shared" si="23"/>
        <v>37.810489068878653</v>
      </c>
      <c r="AA14" s="124">
        <f t="shared" si="23"/>
        <v>0.14106569343883171</v>
      </c>
      <c r="AC14" s="12"/>
      <c r="AE14" s="282"/>
      <c r="AG14" s="51"/>
      <c r="AH14" s="16" t="s">
        <v>76</v>
      </c>
      <c r="AI14" s="16"/>
      <c r="AJ14" s="124">
        <f>AVERAGE(AJ5:AJ13)</f>
        <v>62.855949560001946</v>
      </c>
      <c r="AK14" s="124">
        <f>AVERAGE(AK5:AK13)</f>
        <v>0.7500858379616262</v>
      </c>
      <c r="AL14" s="124">
        <f t="shared" ref="AL14" si="24">AVERAGE(AL5:AL13)</f>
        <v>-51.146590767432862</v>
      </c>
      <c r="AM14" s="124">
        <f>AVERAGE(AM5:AM13)</f>
        <v>-0.76521007246377915</v>
      </c>
      <c r="AN14" s="124">
        <f t="shared" ref="AN14:AR14" si="25">AVERAGE(AN5:AN13)</f>
        <v>-49.60813789398982</v>
      </c>
      <c r="AO14" s="124">
        <f t="shared" si="25"/>
        <v>-0.7377700269191021</v>
      </c>
      <c r="AP14" s="124">
        <f t="shared" si="25"/>
        <v>-55.488666822279782</v>
      </c>
      <c r="AQ14" s="124">
        <f t="shared" si="25"/>
        <v>-0.79826915081305339</v>
      </c>
      <c r="AR14" s="124">
        <f t="shared" si="25"/>
        <v>12.878202412309317</v>
      </c>
      <c r="AS14" s="124">
        <f>AVERAGE(AS5:AS13)</f>
        <v>-0.55725004060545347</v>
      </c>
    </row>
    <row r="15" spans="1:45">
      <c r="B15" s="16" t="s">
        <v>13</v>
      </c>
      <c r="C15" s="124">
        <f>STDEVA(C5:C13)</f>
        <v>94.628255204957824</v>
      </c>
      <c r="D15" s="124">
        <f>STDEVA(D5:D13)</f>
        <v>1.6474551229607866</v>
      </c>
      <c r="E15" s="124">
        <f>STDEVA(E5:E13)</f>
        <v>64.159184787755024</v>
      </c>
      <c r="F15" s="124">
        <f>STDEVA(F5:F13)</f>
        <v>0.59468993763717226</v>
      </c>
      <c r="G15" s="124">
        <f t="shared" ref="G15:L15" si="26">STDEVA(G5:G13)</f>
        <v>66.659059352133966</v>
      </c>
      <c r="H15" s="124">
        <f t="shared" si="26"/>
        <v>0.48078322966920567</v>
      </c>
      <c r="I15" s="124">
        <f>STDEVA(I5:I13)</f>
        <v>48.561699986476995</v>
      </c>
      <c r="J15" s="124">
        <f t="shared" si="26"/>
        <v>0.42193782097252863</v>
      </c>
      <c r="K15" s="124">
        <f>STDEVA(K5:K13)</f>
        <v>43.796153061764535</v>
      </c>
      <c r="L15" s="124">
        <f t="shared" si="26"/>
        <v>0.5321576539158438</v>
      </c>
      <c r="Q15" s="16" t="s">
        <v>99</v>
      </c>
      <c r="R15" s="275">
        <f>(R34-R12)/R13</f>
        <v>2.8357370153548944E-2</v>
      </c>
      <c r="S15" s="821">
        <f>(S34-S12)/S13</f>
        <v>7.0362223497038448E-3</v>
      </c>
      <c r="AC15" s="12"/>
      <c r="AE15" s="282"/>
      <c r="AH15" s="16" t="s">
        <v>13</v>
      </c>
      <c r="AI15" s="16"/>
      <c r="AJ15" s="124">
        <f>STDEVA(AJ5:AJ13)</f>
        <v>88.407935515529374</v>
      </c>
      <c r="AK15" s="124">
        <f>STDEVA(AK5:AK13)</f>
        <v>1.1288964005800604</v>
      </c>
      <c r="AL15" s="124">
        <f>STDEVA(AL5:AL13)</f>
        <v>81.998743187259166</v>
      </c>
      <c r="AM15" s="124">
        <f t="shared" ref="AM15:AO15" si="27">STDEVA(AM5:AM13)</f>
        <v>1.1156866206357678</v>
      </c>
      <c r="AN15" s="124">
        <f t="shared" si="27"/>
        <v>84.088139805557134</v>
      </c>
      <c r="AO15" s="124">
        <f t="shared" si="27"/>
        <v>1.1524986388899661</v>
      </c>
      <c r="AP15" s="124">
        <f>STDEVA(AP5:AP13)</f>
        <v>109.16739669233027</v>
      </c>
      <c r="AQ15" s="124">
        <f t="shared" ref="AQ15:AR15" si="28">STDEVA(AQ5:AQ13)</f>
        <v>1.5212208273567329</v>
      </c>
      <c r="AR15" s="124">
        <f t="shared" si="28"/>
        <v>187.30067957474338</v>
      </c>
      <c r="AS15" s="124">
        <f>STDEVA(AS5:AS13)</f>
        <v>1.2484461209121029</v>
      </c>
    </row>
    <row r="16" spans="1:45">
      <c r="A16" s="242"/>
      <c r="B16" s="16" t="s">
        <v>14</v>
      </c>
      <c r="C16" s="124">
        <f>C15/SQRT(COUNT(C5:C13))</f>
        <v>31.542751734985941</v>
      </c>
      <c r="D16" s="124">
        <f>D15/SQRT(COUNT(D5:D13))</f>
        <v>0.54915170765359556</v>
      </c>
      <c r="E16" s="124">
        <f t="shared" ref="E16:L16" si="29">E15/SQRT(COUNT(E5:E13))</f>
        <v>21.386394929251676</v>
      </c>
      <c r="F16" s="124">
        <f t="shared" si="29"/>
        <v>0.19822997921239074</v>
      </c>
      <c r="G16" s="124">
        <f t="shared" si="29"/>
        <v>22.219686450711322</v>
      </c>
      <c r="H16" s="124">
        <f t="shared" si="29"/>
        <v>0.1602610765564019</v>
      </c>
      <c r="I16" s="124">
        <f t="shared" si="29"/>
        <v>17.169153683192278</v>
      </c>
      <c r="J16" s="124">
        <f t="shared" si="29"/>
        <v>0.14917754722437523</v>
      </c>
      <c r="K16" s="124">
        <f t="shared" si="29"/>
        <v>15.484278409928839</v>
      </c>
      <c r="L16" s="124">
        <f t="shared" si="29"/>
        <v>0.18814614287210851</v>
      </c>
      <c r="AC16" s="12"/>
      <c r="AE16" s="282"/>
      <c r="AG16" s="242"/>
      <c r="AH16" s="16" t="s">
        <v>14</v>
      </c>
      <c r="AI16" s="16"/>
      <c r="AJ16" s="124">
        <f>AJ15/SQRT(COUNT(AJ5:AJ13))</f>
        <v>29.469311838509793</v>
      </c>
      <c r="AK16" s="124">
        <f>AK15/SQRT(COUNT(AK5:AK13))</f>
        <v>0.37629880019335343</v>
      </c>
      <c r="AL16" s="124">
        <f t="shared" ref="AL16:AR16" si="30">AL15/SQRT(COUNT(AL5:AL13))</f>
        <v>27.332914395753054</v>
      </c>
      <c r="AM16" s="124">
        <f t="shared" si="30"/>
        <v>0.37189554021192262</v>
      </c>
      <c r="AN16" s="124">
        <f t="shared" si="30"/>
        <v>28.029379935185712</v>
      </c>
      <c r="AO16" s="124">
        <f t="shared" si="30"/>
        <v>0.38416621296332204</v>
      </c>
      <c r="AP16" s="124">
        <f t="shared" si="30"/>
        <v>36.38913223077676</v>
      </c>
      <c r="AQ16" s="124">
        <f t="shared" si="30"/>
        <v>0.50707360911891097</v>
      </c>
      <c r="AR16" s="124">
        <f t="shared" si="30"/>
        <v>62.433559858247797</v>
      </c>
      <c r="AS16" s="124">
        <f>AS15/SQRT(COUNT(AS5:AS13))</f>
        <v>0.416148706970701</v>
      </c>
    </row>
    <row r="17" spans="1:45">
      <c r="A17" s="242"/>
      <c r="B17" s="16" t="s">
        <v>99</v>
      </c>
      <c r="C17" s="275">
        <f>(C36-C14)/C15</f>
        <v>0.66424081712021921</v>
      </c>
      <c r="D17" s="821">
        <f>(D36-D14)/D15</f>
        <v>0.45529970893142285</v>
      </c>
      <c r="E17" s="275">
        <f t="shared" ref="E17:L17" si="31">(E36-E14)/E15</f>
        <v>-0.79718267831224898</v>
      </c>
      <c r="F17" s="275">
        <f t="shared" si="31"/>
        <v>-1.2867378847944198</v>
      </c>
      <c r="G17" s="275">
        <f t="shared" si="31"/>
        <v>-0.74420698965956544</v>
      </c>
      <c r="H17" s="275">
        <f t="shared" si="31"/>
        <v>-1.5345169743684914</v>
      </c>
      <c r="I17" s="275">
        <f t="shared" si="31"/>
        <v>-1.2854729178024706</v>
      </c>
      <c r="J17" s="275">
        <f t="shared" si="31"/>
        <v>-2.1284007975268766</v>
      </c>
      <c r="K17" s="275">
        <f t="shared" si="31"/>
        <v>-1.4695526085847919</v>
      </c>
      <c r="L17" s="275">
        <f t="shared" si="31"/>
        <v>-1.1780461881325799</v>
      </c>
      <c r="M17" s="18"/>
      <c r="N17" s="593"/>
      <c r="Q17" s="16" t="s">
        <v>161</v>
      </c>
      <c r="U17" s="276"/>
      <c r="V17" s="863"/>
      <c r="W17" s="863"/>
      <c r="X17" s="863"/>
      <c r="Y17" s="863"/>
      <c r="Z17" s="863"/>
      <c r="AA17" s="12"/>
      <c r="AC17" s="12"/>
      <c r="AE17" s="282"/>
      <c r="AG17" s="242"/>
      <c r="AH17" s="16" t="s">
        <v>99</v>
      </c>
      <c r="AI17" s="16"/>
      <c r="AJ17" s="275">
        <f>(AJ36-AJ14)/AJ15</f>
        <v>-0.71097633027479679</v>
      </c>
      <c r="AK17" s="821">
        <f>(AK36-AK14)/AK15</f>
        <v>-0.6644416950715849</v>
      </c>
      <c r="AL17" s="275">
        <f t="shared" ref="AL17:AS17" si="32">(AL36-AL14)/AL15</f>
        <v>0.62374847198121375</v>
      </c>
      <c r="AM17" s="275">
        <f t="shared" si="32"/>
        <v>0.68586470278520362</v>
      </c>
      <c r="AN17" s="275">
        <f t="shared" si="32"/>
        <v>0.58995404118466854</v>
      </c>
      <c r="AO17" s="275">
        <f t="shared" si="32"/>
        <v>0.64014828479944097</v>
      </c>
      <c r="AP17" s="275">
        <f t="shared" si="32"/>
        <v>0.508289732131885</v>
      </c>
      <c r="AQ17" s="275">
        <f t="shared" si="32"/>
        <v>0.52475560185441494</v>
      </c>
      <c r="AR17" s="275">
        <f t="shared" si="32"/>
        <v>-6.8756837623593345E-2</v>
      </c>
      <c r="AS17" s="275">
        <f t="shared" si="32"/>
        <v>0.44635489771743764</v>
      </c>
    </row>
    <row r="18" spans="1:45">
      <c r="A18" s="242"/>
      <c r="B18" s="16"/>
      <c r="C18" s="275"/>
      <c r="D18" s="124"/>
      <c r="E18" s="124"/>
      <c r="F18" s="124"/>
      <c r="G18" s="124"/>
      <c r="H18" s="124"/>
      <c r="I18" s="124"/>
      <c r="J18" s="124"/>
      <c r="K18" s="124"/>
      <c r="L18" s="124"/>
      <c r="Q18" s="16" t="s">
        <v>214</v>
      </c>
      <c r="U18" s="12"/>
      <c r="V18" s="863"/>
      <c r="W18" s="863"/>
      <c r="X18" s="863"/>
      <c r="Y18" s="863"/>
      <c r="Z18" s="863"/>
      <c r="AA18" s="12"/>
      <c r="AC18" s="12"/>
      <c r="AE18" s="282"/>
    </row>
    <row r="19" spans="1:45">
      <c r="A19" s="242" t="s">
        <v>162</v>
      </c>
      <c r="B19" s="16"/>
      <c r="C19" s="124"/>
      <c r="D19" s="124"/>
      <c r="E19" s="124"/>
      <c r="F19" s="142"/>
      <c r="G19" s="124"/>
      <c r="H19" s="124"/>
      <c r="I19" s="124"/>
      <c r="J19" s="124"/>
      <c r="K19" s="124"/>
      <c r="L19" s="124"/>
      <c r="U19" s="12"/>
      <c r="V19" s="863"/>
      <c r="W19" s="863"/>
      <c r="X19" s="863"/>
      <c r="Y19" s="863"/>
      <c r="Z19" s="863"/>
      <c r="AA19" s="12"/>
      <c r="AC19" s="12"/>
      <c r="AE19" s="282"/>
    </row>
    <row r="20" spans="1:45">
      <c r="A20" s="242"/>
      <c r="B20" s="16"/>
      <c r="C20" s="124"/>
      <c r="D20" s="124"/>
      <c r="E20" s="124"/>
      <c r="G20" s="124"/>
      <c r="H20" s="124"/>
      <c r="I20" s="124"/>
      <c r="J20" s="124"/>
      <c r="K20" s="124"/>
      <c r="L20" s="124"/>
      <c r="U20" s="12"/>
      <c r="V20" s="863"/>
      <c r="W20" s="863"/>
      <c r="X20" s="863"/>
      <c r="Y20" s="863"/>
      <c r="Z20" s="863"/>
      <c r="AA20" s="12"/>
      <c r="AC20" s="12"/>
      <c r="AE20" s="282"/>
    </row>
    <row r="21" spans="1:45">
      <c r="A21" s="242"/>
      <c r="B21" s="216"/>
      <c r="C21" s="216"/>
      <c r="D21" s="216"/>
      <c r="E21" s="12"/>
      <c r="F21" s="12"/>
      <c r="G21" s="12"/>
      <c r="H21" s="12"/>
      <c r="I21" s="12"/>
      <c r="J21" s="12"/>
      <c r="K21" s="12"/>
      <c r="L21" s="12"/>
      <c r="M21" s="12"/>
      <c r="AC21" s="12"/>
      <c r="AE21" s="282"/>
    </row>
    <row r="22" spans="1:45">
      <c r="B22" s="216"/>
      <c r="C22" s="216"/>
      <c r="D22" s="216"/>
      <c r="AC22" s="12"/>
      <c r="AE22" s="282"/>
    </row>
    <row r="23" spans="1:45" ht="16" thickBot="1">
      <c r="AC23" s="12"/>
      <c r="AE23" s="282"/>
    </row>
    <row r="24" spans="1:45" ht="16" thickBot="1">
      <c r="A24" s="1467" t="s">
        <v>157</v>
      </c>
      <c r="B24" s="1476"/>
      <c r="C24" s="1467" t="s">
        <v>159</v>
      </c>
      <c r="D24" s="1476"/>
      <c r="E24" s="1404" t="s">
        <v>151</v>
      </c>
      <c r="F24" s="1406"/>
      <c r="G24" s="1406" t="s">
        <v>153</v>
      </c>
      <c r="H24" s="1404"/>
      <c r="I24" s="1478" t="s">
        <v>154</v>
      </c>
      <c r="J24" s="1478"/>
      <c r="K24" s="1406" t="s">
        <v>155</v>
      </c>
      <c r="L24" s="1478"/>
      <c r="P24" s="1467" t="s">
        <v>157</v>
      </c>
      <c r="Q24" s="1468"/>
      <c r="R24" s="1473" t="s">
        <v>159</v>
      </c>
      <c r="S24" s="1474"/>
      <c r="T24" s="1331" t="s">
        <v>151</v>
      </c>
      <c r="U24" s="1332"/>
      <c r="V24" s="1466" t="s">
        <v>153</v>
      </c>
      <c r="W24" s="1466"/>
      <c r="X24" s="1466" t="s">
        <v>154</v>
      </c>
      <c r="Y24" s="1466"/>
      <c r="Z24" s="1466" t="s">
        <v>155</v>
      </c>
      <c r="AA24" s="1466"/>
      <c r="AC24" s="12"/>
      <c r="AE24" s="282"/>
    </row>
    <row r="25" spans="1:45" ht="16" thickBot="1">
      <c r="A25" s="1469"/>
      <c r="B25" s="1477"/>
      <c r="C25" s="842" t="s">
        <v>152</v>
      </c>
      <c r="D25" s="844" t="s">
        <v>152</v>
      </c>
      <c r="E25" s="843" t="s">
        <v>152</v>
      </c>
      <c r="F25" s="844" t="s">
        <v>152</v>
      </c>
      <c r="G25" s="843" t="s">
        <v>152</v>
      </c>
      <c r="H25" s="844" t="s">
        <v>152</v>
      </c>
      <c r="I25" s="843" t="s">
        <v>152</v>
      </c>
      <c r="J25" s="844" t="s">
        <v>152</v>
      </c>
      <c r="K25" s="843" t="s">
        <v>152</v>
      </c>
      <c r="L25" s="845" t="s">
        <v>152</v>
      </c>
      <c r="N25" s="294" t="s">
        <v>31</v>
      </c>
      <c r="P25" s="1469"/>
      <c r="Q25" s="1470"/>
      <c r="R25" s="841" t="s">
        <v>152</v>
      </c>
      <c r="S25" s="873" t="s">
        <v>152</v>
      </c>
      <c r="T25" s="13" t="s">
        <v>152</v>
      </c>
      <c r="U25" s="873" t="s">
        <v>152</v>
      </c>
      <c r="V25" s="13" t="s">
        <v>152</v>
      </c>
      <c r="W25" s="873" t="s">
        <v>152</v>
      </c>
      <c r="X25" s="13" t="s">
        <v>152</v>
      </c>
      <c r="Y25" s="873" t="s">
        <v>152</v>
      </c>
      <c r="Z25" s="13" t="s">
        <v>152</v>
      </c>
      <c r="AA25" s="873" t="s">
        <v>152</v>
      </c>
      <c r="AC25" s="294" t="s">
        <v>31</v>
      </c>
      <c r="AE25" s="282"/>
    </row>
    <row r="26" spans="1:45" ht="16" thickBot="1">
      <c r="A26" s="1471"/>
      <c r="B26" s="1475"/>
      <c r="C26" s="868" t="s">
        <v>3</v>
      </c>
      <c r="D26" s="869" t="s">
        <v>21</v>
      </c>
      <c r="E26" s="870" t="s">
        <v>3</v>
      </c>
      <c r="F26" s="869" t="s">
        <v>21</v>
      </c>
      <c r="G26" s="870" t="s">
        <v>3</v>
      </c>
      <c r="H26" s="869" t="s">
        <v>21</v>
      </c>
      <c r="I26" s="870" t="s">
        <v>3</v>
      </c>
      <c r="J26" s="869" t="s">
        <v>21</v>
      </c>
      <c r="K26" s="870" t="s">
        <v>3</v>
      </c>
      <c r="L26" s="871" t="s">
        <v>21</v>
      </c>
      <c r="N26" s="866" t="s">
        <v>2</v>
      </c>
      <c r="P26" s="1471"/>
      <c r="Q26" s="1472"/>
      <c r="R26" s="149" t="s">
        <v>3</v>
      </c>
      <c r="S26" s="874" t="s">
        <v>21</v>
      </c>
      <c r="T26" s="150" t="s">
        <v>3</v>
      </c>
      <c r="U26" s="874" t="s">
        <v>21</v>
      </c>
      <c r="V26" s="150" t="s">
        <v>3</v>
      </c>
      <c r="W26" s="874" t="s">
        <v>21</v>
      </c>
      <c r="X26" s="150" t="s">
        <v>3</v>
      </c>
      <c r="Y26" s="874" t="s">
        <v>21</v>
      </c>
      <c r="Z26" s="150" t="s">
        <v>3</v>
      </c>
      <c r="AA26" s="874" t="s">
        <v>21</v>
      </c>
      <c r="AC26" s="866" t="s">
        <v>2</v>
      </c>
      <c r="AE26" s="282"/>
    </row>
    <row r="27" spans="1:45" ht="16" thickBot="1">
      <c r="A27" s="32" t="s">
        <v>60</v>
      </c>
      <c r="B27" s="133" t="s">
        <v>57</v>
      </c>
      <c r="C27" s="896">
        <f>'[18]Lode 60+20min'!$T$3</f>
        <v>1108.9157479531721</v>
      </c>
      <c r="D27" s="897">
        <f t="shared" ref="D27:D35" si="33">C27/N27</f>
        <v>13.775350906250585</v>
      </c>
      <c r="E27" s="898">
        <f>'[18]Lode 60+20min'!$T$4</f>
        <v>811.7179123270198</v>
      </c>
      <c r="F27" s="899">
        <f t="shared" ref="F27:F35" si="34">E27/N27</f>
        <v>10.083452327043725</v>
      </c>
      <c r="G27" s="900">
        <f>'[18]Lode 60+20min'!$T$5</f>
        <v>782.57921426270968</v>
      </c>
      <c r="H27" s="901">
        <f t="shared" ref="H27:H35" si="35">G27/N27</f>
        <v>9.7214809225181327</v>
      </c>
      <c r="I27" s="898">
        <f>'[18]Lode 60+20min'!$T$6</f>
        <v>761.20235187026947</v>
      </c>
      <c r="J27" s="899">
        <f t="shared" ref="J27:J35" si="36">I27/N27</f>
        <v>9.4559298368977576</v>
      </c>
      <c r="K27" s="900">
        <f>'[18]Lode 60+20min'!$T$7</f>
        <v>740.37702799845295</v>
      </c>
      <c r="L27" s="902">
        <f t="shared" ref="L27:L35" si="37">K27/N27</f>
        <v>9.1972301614714649</v>
      </c>
      <c r="N27" s="864">
        <v>80.5</v>
      </c>
      <c r="P27" s="89" t="s">
        <v>61</v>
      </c>
      <c r="Q27" s="133" t="s">
        <v>58</v>
      </c>
      <c r="R27" s="913">
        <f>'[19]Lode 60+20min'!$T$3</f>
        <v>1197.0520138886163</v>
      </c>
      <c r="S27" s="909">
        <f>R27/AC27</f>
        <v>16.00336916963391</v>
      </c>
      <c r="T27" s="887">
        <f>'[19]Lode 60+20min'!$T$4</f>
        <v>764.34127326192356</v>
      </c>
      <c r="U27" s="886">
        <f>T27/AC27</f>
        <v>10.218466220079192</v>
      </c>
      <c r="V27" s="887">
        <f>'[19]Lode 60+20min'!$T$5</f>
        <v>723.39469852029754</v>
      </c>
      <c r="W27" s="888">
        <f>V27/AC27</f>
        <v>9.6710521192553145</v>
      </c>
      <c r="X27" s="887">
        <f>'[19]Lode 60+20min'!$T$6</f>
        <v>677.28853346341486</v>
      </c>
      <c r="Y27" s="886">
        <f>X27/AC27</f>
        <v>9.0546595382809478</v>
      </c>
      <c r="Z27" s="887">
        <f>'[19]Lode 60+20min'!$T$7</f>
        <v>637.12238733500965</v>
      </c>
      <c r="AA27" s="889">
        <f>Z27/AC27</f>
        <v>8.5176789750669748</v>
      </c>
      <c r="AC27" s="864">
        <v>74.8</v>
      </c>
      <c r="AE27" s="282"/>
    </row>
    <row r="28" spans="1:45" ht="16" thickBot="1">
      <c r="A28" s="32" t="s">
        <v>60</v>
      </c>
      <c r="B28" s="134" t="s">
        <v>59</v>
      </c>
      <c r="C28" s="903">
        <f>'[20]Lode 60+20min'!$T$3</f>
        <v>1147.6916791118565</v>
      </c>
      <c r="D28" s="897">
        <f>C28/N28</f>
        <v>16.029213395416992</v>
      </c>
      <c r="E28" s="891">
        <f>'[20]Lode 60+20min'!$T$4</f>
        <v>722.09505211546002</v>
      </c>
      <c r="F28" s="899">
        <f t="shared" si="34"/>
        <v>10.085126426193577</v>
      </c>
      <c r="G28" s="904">
        <f>'[20]Lode 60+20min'!$T$5</f>
        <v>696.57691681749623</v>
      </c>
      <c r="H28" s="901">
        <f t="shared" si="35"/>
        <v>9.7287278885125179</v>
      </c>
      <c r="I28" s="891">
        <f>'[20]Lode 60+20min'!$T$6</f>
        <v>664.28057379040615</v>
      </c>
      <c r="J28" s="899">
        <f t="shared" si="36"/>
        <v>9.277661645117405</v>
      </c>
      <c r="K28" s="904">
        <f>'[20]Lode 60+20min'!$T$7</f>
        <v>667.1329479381186</v>
      </c>
      <c r="L28" s="902">
        <f t="shared" si="37"/>
        <v>9.3174992728787522</v>
      </c>
      <c r="N28" s="865">
        <v>71.599999999999994</v>
      </c>
      <c r="P28" s="32" t="s">
        <v>61</v>
      </c>
      <c r="Q28" s="133" t="s">
        <v>63</v>
      </c>
      <c r="R28" s="905">
        <f>'[21]Lode 60+20min'!$T$3</f>
        <v>1268.9778377457692</v>
      </c>
      <c r="S28" s="909">
        <f t="shared" ref="S28:S33" si="38">R28/AC28</f>
        <v>17.102127193339207</v>
      </c>
      <c r="T28" s="892">
        <f>'[21]Lode 60+20min'!$T$4</f>
        <v>783.86075393995611</v>
      </c>
      <c r="U28" s="886">
        <f t="shared" ref="U28:U33" si="39">T28/AC28</f>
        <v>10.564161104312076</v>
      </c>
      <c r="V28" s="892">
        <f>'[21]Lode 60+20min'!$T$5</f>
        <v>758.80061586256056</v>
      </c>
      <c r="W28" s="888">
        <f t="shared" ref="W28:W33" si="40">V28/AC28</f>
        <v>10.226423394374132</v>
      </c>
      <c r="X28" s="892">
        <f>'[21]Lode 60+20min'!$T$6</f>
        <v>693.13743601270551</v>
      </c>
      <c r="Y28" s="886">
        <f t="shared" ref="Y28:Y33" si="41">X28/AC28</f>
        <v>9.3414748788774329</v>
      </c>
      <c r="Z28" s="892">
        <f>'[21]Lode 60+20min'!$T$7</f>
        <v>715.34824869150691</v>
      </c>
      <c r="AA28" s="889">
        <f t="shared" ref="AA28:AA33" si="42">Z28/AC28</f>
        <v>9.6408119769744864</v>
      </c>
      <c r="AC28" s="865">
        <v>74.2</v>
      </c>
      <c r="AE28" s="282"/>
    </row>
    <row r="29" spans="1:45" ht="16" thickBot="1">
      <c r="A29" s="32" t="s">
        <v>60</v>
      </c>
      <c r="B29" s="133" t="s">
        <v>62</v>
      </c>
      <c r="C29" s="883">
        <f>'[36]Lode 60+20min 20.10.18'!$S$3</f>
        <v>1052.7755887657172</v>
      </c>
      <c r="D29" s="897">
        <f t="shared" si="33"/>
        <v>14.169254222957164</v>
      </c>
      <c r="E29" s="883">
        <f>'[22]Lode 60+20min 20.10.18'!$T$4</f>
        <v>412.81903076171875</v>
      </c>
      <c r="F29" s="899">
        <f t="shared" si="34"/>
        <v>5.5561107774120968</v>
      </c>
      <c r="G29" s="883">
        <f>'[22]Lode 60+20min 20.10.18'!$T$5</f>
        <v>380.36309814453125</v>
      </c>
      <c r="H29" s="901">
        <f t="shared" si="35"/>
        <v>5.1192879965616589</v>
      </c>
      <c r="I29" s="883">
        <f>'[22]Lode 60+20min 20.10.18'!$T$6</f>
        <v>334.29107666015625</v>
      </c>
      <c r="J29" s="899">
        <f t="shared" si="36"/>
        <v>4.4992069537033146</v>
      </c>
      <c r="K29" s="883">
        <f>'[22]Lode 60+20min 20.10.18'!$T$7</f>
        <v>371.9652099609375</v>
      </c>
      <c r="L29" s="902">
        <f t="shared" si="37"/>
        <v>5.0062612376976787</v>
      </c>
      <c r="M29" t="s">
        <v>131</v>
      </c>
      <c r="N29" s="865">
        <v>74.3</v>
      </c>
      <c r="P29" s="32" t="s">
        <v>61</v>
      </c>
      <c r="Q29" s="133" t="s">
        <v>65</v>
      </c>
      <c r="R29" s="905">
        <f>'[23]Lode 60+20min'!$T$3</f>
        <v>1170.9140069351236</v>
      </c>
      <c r="S29" s="909">
        <f t="shared" si="38"/>
        <v>13.631129300758131</v>
      </c>
      <c r="T29" s="892">
        <f>'[23]Lode 60+20min'!$T$4</f>
        <v>760.82331727150552</v>
      </c>
      <c r="U29" s="886">
        <f t="shared" si="39"/>
        <v>8.8570816911700287</v>
      </c>
      <c r="V29" s="892">
        <f>'[23]Lode 60+20min'!$T$5</f>
        <v>770.88845198720389</v>
      </c>
      <c r="W29" s="888">
        <f t="shared" si="40"/>
        <v>8.9742543886752486</v>
      </c>
      <c r="X29" s="892">
        <f>'[23]Lode 60+20min'!$T$6</f>
        <v>770.88550759773136</v>
      </c>
      <c r="Y29" s="886">
        <f t="shared" si="41"/>
        <v>8.974220111731448</v>
      </c>
      <c r="Z29" s="892">
        <f>'[23]Lode 60+20min'!$T$7</f>
        <v>744.97156309783725</v>
      </c>
      <c r="AA29" s="889">
        <f t="shared" si="42"/>
        <v>8.6725443899631802</v>
      </c>
      <c r="AC29" s="865">
        <v>85.9</v>
      </c>
      <c r="AE29" s="282"/>
    </row>
    <row r="30" spans="1:45" ht="16" thickBot="1">
      <c r="A30" s="32" t="s">
        <v>60</v>
      </c>
      <c r="B30" s="133" t="s">
        <v>64</v>
      </c>
      <c r="C30" s="905">
        <f>'[24]Lode 60+20min'!$T$3</f>
        <v>1157.8415479647858</v>
      </c>
      <c r="D30" s="897">
        <f t="shared" si="33"/>
        <v>18.03491507733311</v>
      </c>
      <c r="E30" s="891">
        <f>'[24]Lode 60+20min'!$T$4</f>
        <v>685.00344145962754</v>
      </c>
      <c r="F30" s="899">
        <f t="shared" si="34"/>
        <v>10.669835536754322</v>
      </c>
      <c r="G30" s="904">
        <f>'[24]Lode 60+20min'!$T$5</f>
        <v>621.57673231394301</v>
      </c>
      <c r="H30" s="901">
        <f t="shared" si="35"/>
        <v>9.6818805656377407</v>
      </c>
      <c r="I30" s="906"/>
      <c r="J30" s="899"/>
      <c r="K30" s="904">
        <f>'[24]Lode 60+20min'!$T$7</f>
        <v>455.62916589001406</v>
      </c>
      <c r="L30" s="902"/>
      <c r="M30" t="s">
        <v>142</v>
      </c>
      <c r="N30" s="865">
        <v>64.2</v>
      </c>
      <c r="P30" s="33" t="s">
        <v>61</v>
      </c>
      <c r="Q30" s="133" t="s">
        <v>66</v>
      </c>
      <c r="R30" s="905">
        <f>'[25]Lode 60+20min'!$T$3</f>
        <v>1412.1100837004465</v>
      </c>
      <c r="S30" s="909">
        <f t="shared" si="38"/>
        <v>16.343866709495906</v>
      </c>
      <c r="T30" s="892">
        <f>'[25]Lode 60+20min'!$T$4</f>
        <v>760.39602271454226</v>
      </c>
      <c r="U30" s="886">
        <f t="shared" si="39"/>
        <v>8.8008798925294229</v>
      </c>
      <c r="V30" s="892">
        <f>'[25]Lode 60+20min'!$T$5</f>
        <v>782.97388912945291</v>
      </c>
      <c r="W30" s="888">
        <f t="shared" si="40"/>
        <v>9.0621977908501492</v>
      </c>
      <c r="X30" s="892">
        <f>'[25]Lode 60+20min'!$T$6</f>
        <v>768.3098797594821</v>
      </c>
      <c r="Y30" s="886">
        <f t="shared" si="41"/>
        <v>8.89247546017919</v>
      </c>
      <c r="Z30" s="892">
        <f>'[25]Lode 60+20min'!$T$7</f>
        <v>738.70803942977011</v>
      </c>
      <c r="AA30" s="889">
        <f t="shared" si="42"/>
        <v>8.5498615674741902</v>
      </c>
      <c r="AC30" s="865">
        <v>86.4</v>
      </c>
      <c r="AE30" s="282"/>
    </row>
    <row r="31" spans="1:45" ht="16" thickBot="1">
      <c r="A31" s="33" t="s">
        <v>60</v>
      </c>
      <c r="B31" s="133" t="s">
        <v>67</v>
      </c>
      <c r="C31" s="905">
        <f>'[26]Lode 60+20min'!$T$3</f>
        <v>1029.0945540620912</v>
      </c>
      <c r="D31" s="897">
        <f t="shared" si="33"/>
        <v>13.887915709339964</v>
      </c>
      <c r="E31" s="891">
        <f>'[26]Lode 60+20min'!$T$4</f>
        <v>700.39051632348037</v>
      </c>
      <c r="F31" s="899">
        <f t="shared" si="34"/>
        <v>9.4519637830429204</v>
      </c>
      <c r="G31" s="904">
        <f>'[26]Lode 60+20min'!$T$5</f>
        <v>687.26091777414149</v>
      </c>
      <c r="H31" s="901">
        <f t="shared" si="35"/>
        <v>9.2747762182745142</v>
      </c>
      <c r="I31" s="891">
        <f>'[26]Lode 60+20min'!$T$6</f>
        <v>652.93750067388976</v>
      </c>
      <c r="J31" s="899">
        <f t="shared" si="36"/>
        <v>8.8115722088244244</v>
      </c>
      <c r="K31" s="904">
        <f>'[26]Lode 60+20min'!$T$7</f>
        <v>697.42588053274426</v>
      </c>
      <c r="L31" s="902">
        <f t="shared" si="37"/>
        <v>9.4119552028710434</v>
      </c>
      <c r="N31" s="865">
        <v>74.099999999999994</v>
      </c>
      <c r="P31" s="32" t="s">
        <v>61</v>
      </c>
      <c r="Q31" s="133" t="s">
        <v>69</v>
      </c>
      <c r="R31" s="905">
        <f>'[27]Lode 60+20min'!$T$3</f>
        <v>882.73512124728722</v>
      </c>
      <c r="S31" s="909">
        <f t="shared" si="38"/>
        <v>12.521065549606911</v>
      </c>
      <c r="T31" s="892">
        <f>'[27]Lode 60+20min'!$T$4</f>
        <v>604.36371952214552</v>
      </c>
      <c r="U31" s="886">
        <f t="shared" si="39"/>
        <v>8.5725350286829158</v>
      </c>
      <c r="V31" s="892">
        <f>'[27]Lode 60+20min'!$T$5</f>
        <v>611.21863073904308</v>
      </c>
      <c r="W31" s="888">
        <f t="shared" si="40"/>
        <v>8.6697678119013197</v>
      </c>
      <c r="X31" s="892">
        <f>'[27]Lode 60+20min'!$T$6</f>
        <v>625.06053997605613</v>
      </c>
      <c r="Y31" s="886">
        <f t="shared" si="41"/>
        <v>8.8661069500149807</v>
      </c>
      <c r="Z31" s="892">
        <f>'[27]Lode 60+20min'!$T$7</f>
        <v>614.78189133314515</v>
      </c>
      <c r="AA31" s="889">
        <f t="shared" si="42"/>
        <v>8.7203105153637619</v>
      </c>
      <c r="AC31" s="865">
        <v>70.5</v>
      </c>
      <c r="AE31" s="282"/>
    </row>
    <row r="32" spans="1:45" ht="16" thickBot="1">
      <c r="A32" s="32" t="s">
        <v>60</v>
      </c>
      <c r="B32" s="133" t="s">
        <v>68</v>
      </c>
      <c r="C32" s="905">
        <f>'[28]Lode 60+20min'!$T$3</f>
        <v>1064.5580944883316</v>
      </c>
      <c r="D32" s="897">
        <f t="shared" si="33"/>
        <v>13.897625254416862</v>
      </c>
      <c r="E32" s="891">
        <f>'[28]Lode 60+20min'!$T$4</f>
        <v>762.2804473274216</v>
      </c>
      <c r="F32" s="899">
        <f t="shared" si="34"/>
        <v>9.9514418711151649</v>
      </c>
      <c r="G32" s="904">
        <f>'[28]Lode 60+20min'!$T$5</f>
        <v>696.67473309628849</v>
      </c>
      <c r="H32" s="901">
        <f t="shared" si="35"/>
        <v>9.0949704059567686</v>
      </c>
      <c r="I32" s="891">
        <f>'[28]Lode 60+20min'!$T$6</f>
        <v>681.42739892490124</v>
      </c>
      <c r="J32" s="899">
        <f t="shared" si="36"/>
        <v>8.8959190460169886</v>
      </c>
      <c r="K32" s="904">
        <f>'[28]Lode 60+20min'!$T$7</f>
        <v>637.91674814863688</v>
      </c>
      <c r="L32" s="902">
        <f t="shared" si="37"/>
        <v>8.3278948844469571</v>
      </c>
      <c r="N32" s="865">
        <v>76.599999999999994</v>
      </c>
      <c r="P32" s="32" t="s">
        <v>61</v>
      </c>
      <c r="Q32" s="133" t="s">
        <v>70</v>
      </c>
      <c r="R32" s="905">
        <f>'[29]Lode 60+20min'!$T$3</f>
        <v>666.82703735072209</v>
      </c>
      <c r="S32" s="909">
        <f t="shared" si="38"/>
        <v>10.772650037976124</v>
      </c>
      <c r="T32" s="892">
        <f>'[29]Lode 60+20min'!$T$4</f>
        <v>573.52548536543054</v>
      </c>
      <c r="U32" s="886">
        <f t="shared" si="39"/>
        <v>9.2653551755319956</v>
      </c>
      <c r="V32" s="892">
        <f>'[29]Lode 60+20min'!$T$5</f>
        <v>567.81241205559263</v>
      </c>
      <c r="W32" s="888">
        <f t="shared" si="40"/>
        <v>9.1730599685879266</v>
      </c>
      <c r="X32" s="892">
        <f>'[29]Lode 60+20min'!$T$6</f>
        <v>583.25864118130607</v>
      </c>
      <c r="Y32" s="886">
        <f t="shared" si="41"/>
        <v>9.4225951725574486</v>
      </c>
      <c r="Z32" s="892">
        <f>'[29]Lode 60+20min'!$T$7</f>
        <v>570.2369054418574</v>
      </c>
      <c r="AA32" s="889">
        <f t="shared" si="42"/>
        <v>9.2122278746665174</v>
      </c>
      <c r="AC32" s="865">
        <v>61.9</v>
      </c>
      <c r="AE32" s="282"/>
    </row>
    <row r="33" spans="1:31" ht="16" thickBot="1">
      <c r="A33" s="32" t="s">
        <v>60</v>
      </c>
      <c r="B33" s="133" t="s">
        <v>71</v>
      </c>
      <c r="C33" s="905">
        <f>'[30]Lode 60+20min'!$T$3</f>
        <v>1248.4897650780085</v>
      </c>
      <c r="D33" s="897">
        <f t="shared" si="33"/>
        <v>15.803667912379854</v>
      </c>
      <c r="E33" s="891">
        <f>'[30]Lode 60+20min'!$T$4</f>
        <v>805.46894083850327</v>
      </c>
      <c r="F33" s="899">
        <f t="shared" si="34"/>
        <v>10.195809377702574</v>
      </c>
      <c r="G33" s="904">
        <f>'[30]Lode 60+20min'!$T$5</f>
        <v>801.18385366857717</v>
      </c>
      <c r="H33" s="901">
        <f t="shared" si="35"/>
        <v>10.141567767956673</v>
      </c>
      <c r="I33" s="891">
        <f>'[30]Lode 60+20min'!$T$6</f>
        <v>758.12282346002019</v>
      </c>
      <c r="J33" s="899">
        <f t="shared" si="36"/>
        <v>9.596491436202788</v>
      </c>
      <c r="K33" s="904">
        <f>'[30]Lode 60+20min'!$T$7</f>
        <v>724.5068346942802</v>
      </c>
      <c r="L33" s="902">
        <f t="shared" si="37"/>
        <v>9.1709725910668372</v>
      </c>
      <c r="N33" s="865">
        <v>79</v>
      </c>
      <c r="P33" s="53" t="s">
        <v>61</v>
      </c>
      <c r="Q33" s="133" t="s">
        <v>74</v>
      </c>
      <c r="R33" s="907">
        <f>'[31]Lode 60+20min'!$T$3</f>
        <v>984.641593539106</v>
      </c>
      <c r="S33" s="909">
        <f t="shared" si="38"/>
        <v>15.032696084566505</v>
      </c>
      <c r="T33" s="895">
        <f>'[31]Lode 60+20min'!$T$4</f>
        <v>629.75366558374537</v>
      </c>
      <c r="U33" s="886">
        <f t="shared" si="39"/>
        <v>9.6145597799045088</v>
      </c>
      <c r="V33" s="895">
        <f>'[31]Lode 60+20min'!$T$5</f>
        <v>594.42657433093439</v>
      </c>
      <c r="W33" s="888">
        <f t="shared" si="40"/>
        <v>9.075214875281441</v>
      </c>
      <c r="X33" s="895">
        <f>'[31]Lode 60+20min'!$T$6</f>
        <v>611.63480193720216</v>
      </c>
      <c r="Y33" s="886">
        <f t="shared" si="41"/>
        <v>9.3379359074382009</v>
      </c>
      <c r="Z33" s="895">
        <f>'[31]Lode 60+20min'!$T$7</f>
        <v>583.32895591122917</v>
      </c>
      <c r="AA33" s="889">
        <f t="shared" si="42"/>
        <v>8.9057855864309801</v>
      </c>
      <c r="AC33" s="867">
        <v>65.5</v>
      </c>
      <c r="AE33" s="282"/>
    </row>
    <row r="34" spans="1:31" ht="16" thickBot="1">
      <c r="A34" s="32" t="s">
        <v>60</v>
      </c>
      <c r="B34" s="133" t="s">
        <v>72</v>
      </c>
      <c r="C34" s="905">
        <f>'[32]Lode 60+20min'!$T$3</f>
        <v>1087.9448191364752</v>
      </c>
      <c r="D34" s="897">
        <f t="shared" si="33"/>
        <v>15.110344710228823</v>
      </c>
      <c r="E34" s="891">
        <f>'[32]Lode 60+20min'!$T$5</f>
        <v>728.27448153565592</v>
      </c>
      <c r="F34" s="899">
        <f t="shared" si="34"/>
        <v>10.114923354661888</v>
      </c>
      <c r="G34" s="904">
        <f>'[32]Lode 60+20min'!$T$6</f>
        <v>720.89119759219545</v>
      </c>
      <c r="H34" s="901">
        <f t="shared" si="35"/>
        <v>10.012377744336048</v>
      </c>
      <c r="I34" s="891">
        <f>'[32]Lode 60+20min'!$T$7</f>
        <v>689.15803490224482</v>
      </c>
      <c r="J34" s="899">
        <f t="shared" si="36"/>
        <v>9.5716393736422898</v>
      </c>
      <c r="K34" s="904">
        <f>'[32]Lode 60+20min'!$T$8</f>
        <v>673.95549759176731</v>
      </c>
      <c r="L34" s="902">
        <f t="shared" si="37"/>
        <v>9.3604930221078799</v>
      </c>
      <c r="N34" s="865">
        <v>72</v>
      </c>
      <c r="Q34" s="16" t="s">
        <v>76</v>
      </c>
      <c r="R34" s="124">
        <f>AVERAGE(R27:R33)</f>
        <v>1083.3225277724387</v>
      </c>
      <c r="S34" s="124">
        <f t="shared" ref="S34:T34" si="43">AVERAGE(S27:S33)</f>
        <v>14.486700577910955</v>
      </c>
      <c r="T34" s="124">
        <f t="shared" si="43"/>
        <v>696.72346252274986</v>
      </c>
      <c r="U34" s="124">
        <f t="shared" ref="U34:AA34" si="44">AVERAGE(U27:U33)</f>
        <v>9.4132912703157334</v>
      </c>
      <c r="V34" s="124">
        <f t="shared" si="44"/>
        <v>687.07361037501209</v>
      </c>
      <c r="W34" s="124">
        <f t="shared" si="44"/>
        <v>9.2645671927036481</v>
      </c>
      <c r="X34" s="124">
        <f>AVERAGE(X27:X33)</f>
        <v>675.65361998969979</v>
      </c>
      <c r="Y34" s="124">
        <f t="shared" si="44"/>
        <v>9.1270668598685223</v>
      </c>
      <c r="Z34" s="124">
        <f t="shared" si="44"/>
        <v>657.78542732005087</v>
      </c>
      <c r="AA34" s="124">
        <f t="shared" si="44"/>
        <v>8.8884601265628707</v>
      </c>
      <c r="AC34" s="12"/>
      <c r="AE34" s="282"/>
    </row>
    <row r="35" spans="1:31" ht="16" thickBot="1">
      <c r="A35" s="53" t="s">
        <v>60</v>
      </c>
      <c r="B35" s="133" t="s">
        <v>73</v>
      </c>
      <c r="C35" s="907">
        <f>'[33]Lode 60+20min'!$T$3</f>
        <v>996.06488989408342</v>
      </c>
      <c r="D35" s="897">
        <f t="shared" si="33"/>
        <v>14.068713134097225</v>
      </c>
      <c r="E35" s="894">
        <f>'[33]Lode 60+20min'!$T$4</f>
        <v>621.50539508738564</v>
      </c>
      <c r="F35" s="899">
        <f t="shared" si="34"/>
        <v>8.7783247893698544</v>
      </c>
      <c r="G35" s="908">
        <f>'[33]Lode 60+20min'!$T$5</f>
        <v>633.3051603863122</v>
      </c>
      <c r="H35" s="901">
        <f t="shared" si="35"/>
        <v>8.9449881410496079</v>
      </c>
      <c r="I35" s="894">
        <f>'[33]Lode 60+20min'!$T$6</f>
        <v>677.39429706481974</v>
      </c>
      <c r="J35" s="899">
        <f t="shared" si="36"/>
        <v>9.5677160602375668</v>
      </c>
      <c r="K35" s="908">
        <f>'[33]Lode 60+20min'!$T$7</f>
        <v>708.19915305052939</v>
      </c>
      <c r="L35" s="902">
        <f t="shared" si="37"/>
        <v>10.002812896193918</v>
      </c>
      <c r="N35" s="872">
        <v>70.8</v>
      </c>
      <c r="Q35" s="16" t="s">
        <v>13</v>
      </c>
      <c r="R35" s="124">
        <f>STDEVA(R27:R33)</f>
        <v>253.84297714264176</v>
      </c>
      <c r="S35" s="124">
        <f t="shared" ref="S35:T35" si="45">STDEVA(S27:S33)</f>
        <v>2.2831926411415835</v>
      </c>
      <c r="T35" s="124">
        <f t="shared" si="45"/>
        <v>89.926895855947862</v>
      </c>
      <c r="U35" s="124">
        <f t="shared" ref="U35:AA35" si="46">STDEVA(U27:U33)</f>
        <v>0.75569945801240057</v>
      </c>
      <c r="V35" s="124">
        <f t="shared" si="46"/>
        <v>92.417946081767667</v>
      </c>
      <c r="W35" s="124">
        <f t="shared" si="46"/>
        <v>0.51859528580843872</v>
      </c>
      <c r="X35" s="124">
        <f t="shared" si="46"/>
        <v>74.338810608161239</v>
      </c>
      <c r="Y35" s="124">
        <f t="shared" si="46"/>
        <v>0.23434720872868881</v>
      </c>
      <c r="Z35" s="124">
        <f t="shared" si="46"/>
        <v>74.103694209840612</v>
      </c>
      <c r="AA35" s="124">
        <f t="shared" si="46"/>
        <v>0.40787673314962891</v>
      </c>
      <c r="AC35" s="12"/>
      <c r="AE35" s="282"/>
    </row>
    <row r="36" spans="1:31">
      <c r="B36" s="16" t="s">
        <v>76</v>
      </c>
      <c r="C36" s="124">
        <f>AVERAGE(C27:C35)</f>
        <v>1099.2640762727247</v>
      </c>
      <c r="D36" s="124">
        <f>AVERAGE(D27:D35)</f>
        <v>14.975222258046731</v>
      </c>
      <c r="E36" s="124">
        <f>AVERAGE(E27:E35)</f>
        <v>694.39502419736357</v>
      </c>
      <c r="F36" s="124">
        <f>AVERAGE(F27:F35)</f>
        <v>9.4318875825884572</v>
      </c>
      <c r="G36" s="124">
        <f t="shared" ref="G36:K36" si="47">AVERAGE(G27:G35)</f>
        <v>668.93464711735498</v>
      </c>
      <c r="H36" s="124">
        <f t="shared" si="47"/>
        <v>9.080006405644852</v>
      </c>
      <c r="I36" s="124">
        <f t="shared" si="47"/>
        <v>652.35175716833851</v>
      </c>
      <c r="J36" s="124">
        <f t="shared" si="47"/>
        <v>8.7095170700803184</v>
      </c>
      <c r="K36" s="124">
        <f t="shared" si="47"/>
        <v>630.78982953394234</v>
      </c>
      <c r="L36" s="124">
        <f>AVERAGE(L27:L35)</f>
        <v>8.7243899085918155</v>
      </c>
      <c r="Q36" s="16" t="s">
        <v>14</v>
      </c>
      <c r="R36" s="124">
        <f>R35/SQRT(COUNT(R27:R33))</f>
        <v>95.943627082811901</v>
      </c>
      <c r="S36" s="124">
        <f t="shared" ref="S36:T36" si="48">S35/SQRT(COUNT(S27:S33))</f>
        <v>0.86296570338762424</v>
      </c>
      <c r="T36" s="124">
        <f t="shared" si="48"/>
        <v>33.989171801548991</v>
      </c>
      <c r="U36" s="124">
        <f t="shared" ref="U36:AA36" si="49">U35/SQRT(COUNT(U27:U33))</f>
        <v>0.28562754740101559</v>
      </c>
      <c r="V36" s="124">
        <f t="shared" si="49"/>
        <v>34.930700287390493</v>
      </c>
      <c r="W36" s="124">
        <f t="shared" si="49"/>
        <v>0.19601059390565612</v>
      </c>
      <c r="X36" s="124">
        <f t="shared" si="49"/>
        <v>28.097429375646414</v>
      </c>
      <c r="Y36" s="124">
        <f t="shared" si="49"/>
        <v>8.857491924832224E-2</v>
      </c>
      <c r="Z36" s="124">
        <f t="shared" si="49"/>
        <v>28.008563730059329</v>
      </c>
      <c r="AA36" s="124">
        <f t="shared" si="49"/>
        <v>0.15416291449762468</v>
      </c>
      <c r="AC36" s="12"/>
      <c r="AE36" s="282"/>
    </row>
    <row r="37" spans="1:31">
      <c r="B37" s="16" t="s">
        <v>13</v>
      </c>
      <c r="C37" s="124">
        <f>STDEVA(C27:C35)</f>
        <v>76.816061156769123</v>
      </c>
      <c r="D37" s="124">
        <f>STDEVA(D27:D35)</f>
        <v>1.4331644665153782</v>
      </c>
      <c r="E37" s="124">
        <f t="shared" ref="E37:L37" si="50">STDEVA(E27:E35)</f>
        <v>121.11342862687138</v>
      </c>
      <c r="F37" s="124">
        <f t="shared" si="50"/>
        <v>1.5472967150805008</v>
      </c>
      <c r="G37" s="124">
        <f t="shared" si="50"/>
        <v>123.36918899619329</v>
      </c>
      <c r="H37" s="124">
        <f t="shared" si="50"/>
        <v>1.538444421762079</v>
      </c>
      <c r="I37" s="124">
        <f t="shared" si="50"/>
        <v>134.78471220371938</v>
      </c>
      <c r="J37" s="124">
        <f t="shared" si="50"/>
        <v>1.728677297813062</v>
      </c>
      <c r="K37" s="124">
        <f t="shared" si="50"/>
        <v>128.51611265323095</v>
      </c>
      <c r="L37" s="124">
        <f t="shared" si="50"/>
        <v>1.5706331922727907</v>
      </c>
      <c r="Q37" s="16" t="s">
        <v>99</v>
      </c>
      <c r="R37" s="124">
        <f>(R34-R12)/R13</f>
        <v>2.8357370153548944E-2</v>
      </c>
      <c r="S37" s="124">
        <f t="shared" ref="S37:Z37" si="51">(S34-S12)/S13</f>
        <v>7.0362223497038448E-3</v>
      </c>
      <c r="T37" s="124">
        <f t="shared" si="51"/>
        <v>0.15395971146319515</v>
      </c>
      <c r="U37" s="824">
        <f>(U34-U12)/U13</f>
        <v>0.15427177408817014</v>
      </c>
      <c r="V37" s="124">
        <f t="shared" si="51"/>
        <v>0.19598288017532126</v>
      </c>
      <c r="W37" s="824">
        <f>(W34-W12)/W13</f>
        <v>0.1937296411427451</v>
      </c>
      <c r="X37" s="124">
        <f t="shared" si="51"/>
        <v>0.40176817858802777</v>
      </c>
      <c r="Y37" s="824">
        <f>(Y34-Y12)/Y13</f>
        <v>0.66950262823756679</v>
      </c>
      <c r="Z37" s="124">
        <f t="shared" si="51"/>
        <v>0.20456078541068046</v>
      </c>
      <c r="AA37" s="824">
        <f>(AA34-AA12)/AA13</f>
        <v>0.70356895113768969</v>
      </c>
      <c r="AC37" s="12"/>
      <c r="AE37" s="282"/>
    </row>
    <row r="38" spans="1:31">
      <c r="B38" s="16" t="s">
        <v>14</v>
      </c>
      <c r="C38" s="124">
        <f>C37/SQRT(COUNT(C27:C35))</f>
        <v>25.605353718923041</v>
      </c>
      <c r="D38" s="124">
        <f>D37/SQRT(COUNT(D27:D35))</f>
        <v>0.47772148883845938</v>
      </c>
      <c r="E38" s="124">
        <f t="shared" ref="E38:L38" si="52">E37/SQRT(COUNT(E27:E35))</f>
        <v>40.371142875623796</v>
      </c>
      <c r="F38" s="124">
        <f t="shared" si="52"/>
        <v>0.51576557169350024</v>
      </c>
      <c r="G38" s="124">
        <f t="shared" si="52"/>
        <v>41.123062998731093</v>
      </c>
      <c r="H38" s="124">
        <f t="shared" si="52"/>
        <v>0.51281480725402628</v>
      </c>
      <c r="I38" s="124">
        <f t="shared" si="52"/>
        <v>47.653591999763584</v>
      </c>
      <c r="J38" s="124">
        <f t="shared" si="52"/>
        <v>0.61117971988342645</v>
      </c>
      <c r="K38" s="124">
        <f t="shared" si="52"/>
        <v>42.838704217743647</v>
      </c>
      <c r="L38" s="124">
        <f t="shared" si="52"/>
        <v>0.55530269050638237</v>
      </c>
      <c r="AC38" s="12"/>
      <c r="AE38" s="282"/>
    </row>
    <row r="39" spans="1:31">
      <c r="B39" s="16" t="s">
        <v>99</v>
      </c>
      <c r="C39" s="124">
        <f>(C36-C14)/C15</f>
        <v>0.66424081712021921</v>
      </c>
      <c r="D39" s="124">
        <f t="shared" ref="D39:K39" si="53">(D36-D14)/D15</f>
        <v>0.45529970893142285</v>
      </c>
      <c r="E39" s="124">
        <f t="shared" si="53"/>
        <v>-0.79718267831224898</v>
      </c>
      <c r="F39" s="824">
        <f>(F36-F14)/F15</f>
        <v>-1.2867378847944198</v>
      </c>
      <c r="G39" s="124">
        <f t="shared" si="53"/>
        <v>-0.74420698965956544</v>
      </c>
      <c r="H39" s="824">
        <f>(H36-H14)/H15</f>
        <v>-1.5345169743684914</v>
      </c>
      <c r="I39" s="124">
        <f t="shared" si="53"/>
        <v>-1.2854729178024706</v>
      </c>
      <c r="J39" s="824">
        <f>(J36-J14)/J15</f>
        <v>-2.1284007975268766</v>
      </c>
      <c r="K39" s="124">
        <f t="shared" si="53"/>
        <v>-1.4695526085847919</v>
      </c>
      <c r="L39" s="824">
        <f>(L36-L14)/L15</f>
        <v>-1.1780461881325799</v>
      </c>
      <c r="AC39" s="12"/>
      <c r="AE39" s="282"/>
    </row>
    <row r="40" spans="1:31">
      <c r="AC40" s="12"/>
      <c r="AE40" s="282"/>
    </row>
    <row r="41" spans="1:31">
      <c r="F41" s="142"/>
      <c r="G41" s="124"/>
      <c r="H41" s="124"/>
      <c r="I41" s="124"/>
      <c r="J41" s="124"/>
      <c r="K41" s="124"/>
      <c r="U41" s="142"/>
      <c r="V41" s="124"/>
      <c r="W41" s="124"/>
      <c r="X41" s="124"/>
      <c r="Y41" s="124"/>
      <c r="Z41" s="124"/>
      <c r="AC41" s="12"/>
      <c r="AE41" s="282"/>
    </row>
    <row r="42" spans="1:31">
      <c r="B42" s="16" t="s">
        <v>163</v>
      </c>
      <c r="AC42" s="12"/>
      <c r="AE42" s="282"/>
    </row>
    <row r="43" spans="1:31">
      <c r="A43" t="s">
        <v>164</v>
      </c>
      <c r="AC43" s="12"/>
      <c r="AE43" s="282"/>
    </row>
    <row r="44" spans="1:31">
      <c r="AC44" s="12"/>
      <c r="AE44" s="282"/>
    </row>
    <row r="45" spans="1:31" ht="16" thickBot="1">
      <c r="A45" s="554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12"/>
      <c r="AE45" s="282"/>
    </row>
    <row r="46" spans="1:31" ht="16" thickBot="1">
      <c r="A46" s="1479" t="s">
        <v>170</v>
      </c>
      <c r="B46" s="1480"/>
      <c r="C46" s="1479" t="s">
        <v>159</v>
      </c>
      <c r="D46" s="1480"/>
      <c r="E46" s="1412" t="s">
        <v>151</v>
      </c>
      <c r="F46" s="1414"/>
      <c r="G46" s="1414" t="s">
        <v>153</v>
      </c>
      <c r="H46" s="1412"/>
      <c r="I46" s="1485" t="s">
        <v>154</v>
      </c>
      <c r="J46" s="1485"/>
      <c r="K46" s="1414" t="s">
        <v>155</v>
      </c>
      <c r="L46" s="1485"/>
      <c r="M46" s="554"/>
      <c r="N46" s="554"/>
      <c r="O46" s="554"/>
      <c r="P46" s="1479" t="s">
        <v>170</v>
      </c>
      <c r="Q46" s="1486"/>
      <c r="R46" s="1479" t="s">
        <v>159</v>
      </c>
      <c r="S46" s="1487"/>
      <c r="T46" s="1412" t="s">
        <v>151</v>
      </c>
      <c r="U46" s="1394"/>
      <c r="V46" s="1485" t="s">
        <v>153</v>
      </c>
      <c r="W46" s="1451"/>
      <c r="X46" s="1485" t="s">
        <v>154</v>
      </c>
      <c r="Y46" s="1451"/>
      <c r="Z46" s="1485" t="s">
        <v>155</v>
      </c>
      <c r="AA46" s="1451"/>
      <c r="AB46" s="554"/>
      <c r="AC46" s="12"/>
      <c r="AE46" s="282"/>
    </row>
    <row r="47" spans="1:31">
      <c r="A47" s="1481"/>
      <c r="B47" s="1482"/>
      <c r="C47" s="857" t="s">
        <v>152</v>
      </c>
      <c r="D47" s="558" t="s">
        <v>152</v>
      </c>
      <c r="E47" s="858" t="s">
        <v>152</v>
      </c>
      <c r="F47" s="558" t="s">
        <v>152</v>
      </c>
      <c r="G47" s="858" t="s">
        <v>152</v>
      </c>
      <c r="H47" s="558" t="s">
        <v>152</v>
      </c>
      <c r="I47" s="858" t="s">
        <v>152</v>
      </c>
      <c r="J47" s="558" t="s">
        <v>152</v>
      </c>
      <c r="K47" s="858" t="s">
        <v>152</v>
      </c>
      <c r="L47" s="558" t="s">
        <v>152</v>
      </c>
      <c r="M47" s="554"/>
      <c r="N47" s="554"/>
      <c r="O47" s="554"/>
      <c r="P47" s="1481"/>
      <c r="Q47" s="1482"/>
      <c r="R47" s="696" t="s">
        <v>152</v>
      </c>
      <c r="S47" s="858" t="s">
        <v>152</v>
      </c>
      <c r="T47" s="696" t="s">
        <v>152</v>
      </c>
      <c r="U47" s="858" t="s">
        <v>152</v>
      </c>
      <c r="V47" s="696" t="s">
        <v>152</v>
      </c>
      <c r="W47" s="858" t="s">
        <v>152</v>
      </c>
      <c r="X47" s="696" t="s">
        <v>152</v>
      </c>
      <c r="Y47" s="858" t="s">
        <v>152</v>
      </c>
      <c r="Z47" s="696" t="s">
        <v>152</v>
      </c>
      <c r="AA47" s="859" t="s">
        <v>152</v>
      </c>
      <c r="AB47" s="554"/>
      <c r="AC47" s="12"/>
      <c r="AE47" s="282"/>
    </row>
    <row r="48" spans="1:31" ht="16" thickBot="1">
      <c r="A48" s="1483"/>
      <c r="B48" s="1484"/>
      <c r="C48" s="877" t="s">
        <v>3</v>
      </c>
      <c r="D48" s="876" t="s">
        <v>21</v>
      </c>
      <c r="E48" s="699" t="s">
        <v>3</v>
      </c>
      <c r="F48" s="876" t="s">
        <v>21</v>
      </c>
      <c r="G48" s="699" t="s">
        <v>3</v>
      </c>
      <c r="H48" s="876" t="s">
        <v>21</v>
      </c>
      <c r="I48" s="699" t="s">
        <v>3</v>
      </c>
      <c r="J48" s="876" t="s">
        <v>21</v>
      </c>
      <c r="K48" s="699" t="s">
        <v>3</v>
      </c>
      <c r="L48" s="876" t="s">
        <v>21</v>
      </c>
      <c r="M48" s="554"/>
      <c r="N48" s="554"/>
      <c r="O48" s="554"/>
      <c r="P48" s="1483"/>
      <c r="Q48" s="1484"/>
      <c r="R48" s="697" t="s">
        <v>3</v>
      </c>
      <c r="S48" s="660" t="s">
        <v>21</v>
      </c>
      <c r="T48" s="697" t="s">
        <v>3</v>
      </c>
      <c r="U48" s="660" t="s">
        <v>21</v>
      </c>
      <c r="V48" s="697" t="s">
        <v>3</v>
      </c>
      <c r="W48" s="660" t="s">
        <v>21</v>
      </c>
      <c r="X48" s="697" t="s">
        <v>3</v>
      </c>
      <c r="Y48" s="660" t="s">
        <v>21</v>
      </c>
      <c r="Z48" s="697" t="s">
        <v>3</v>
      </c>
      <c r="AA48" s="564" t="s">
        <v>21</v>
      </c>
      <c r="AB48" s="554"/>
      <c r="AC48" s="12"/>
      <c r="AE48" s="282"/>
    </row>
    <row r="49" spans="1:31" ht="16" thickBot="1">
      <c r="A49" s="565" t="s">
        <v>60</v>
      </c>
      <c r="B49" s="568" t="s">
        <v>57</v>
      </c>
      <c r="C49" s="734">
        <f t="shared" ref="C49:D57" si="54">C27-C5</f>
        <v>23.82028652567692</v>
      </c>
      <c r="D49" s="734">
        <f>D27-D5</f>
        <v>0.17766341969049471</v>
      </c>
      <c r="E49" s="736">
        <f t="shared" ref="E49:F57" si="55">E27-E5</f>
        <v>-35.124320418434081</v>
      </c>
      <c r="F49" s="736">
        <f>F27-F5</f>
        <v>-0.52860572741058398</v>
      </c>
      <c r="G49" s="736">
        <f t="shared" ref="G49:H57" si="56">G27-G5</f>
        <v>-42.528363601936462</v>
      </c>
      <c r="H49" s="736">
        <f>H27-H5</f>
        <v>-0.6182130356854536</v>
      </c>
      <c r="I49" s="736">
        <f t="shared" ref="I49:J57" si="57">I27-I5</f>
        <v>-28.270008616314385</v>
      </c>
      <c r="J49" s="736">
        <f>J27-J5</f>
        <v>-0.43720751255818158</v>
      </c>
      <c r="K49" s="736">
        <f t="shared" ref="K49:L57" si="58">K27-K5</f>
        <v>-5.0961178212825189</v>
      </c>
      <c r="L49" s="736">
        <f>L27-L5</f>
        <v>-0.1445385831367485</v>
      </c>
      <c r="M49" s="554"/>
      <c r="N49" s="554"/>
      <c r="O49" s="554"/>
      <c r="P49" s="567" t="s">
        <v>61</v>
      </c>
      <c r="Q49" s="568" t="s">
        <v>58</v>
      </c>
      <c r="R49" s="707">
        <f t="shared" ref="R49:S55" si="59">R27-R5</f>
        <v>34.791949220936431</v>
      </c>
      <c r="S49" s="707">
        <f>S27-S5</f>
        <v>0.29715207953012701</v>
      </c>
      <c r="T49" s="698">
        <f t="shared" ref="T49:U55" si="60">T27-T5</f>
        <v>-10.81256782532148</v>
      </c>
      <c r="U49" s="698">
        <f>U27-U5</f>
        <v>-0.25658568650520053</v>
      </c>
      <c r="V49" s="698">
        <f t="shared" ref="V49:W55" si="61">V27-V5</f>
        <v>-6.9502683000915795</v>
      </c>
      <c r="W49" s="878">
        <f>W27-W5</f>
        <v>-0.19847445939859298</v>
      </c>
      <c r="X49" s="698">
        <f t="shared" ref="X49:Y55" si="62">X27-X5</f>
        <v>-18.862309863245855</v>
      </c>
      <c r="Y49" s="698">
        <f>Y27-Y5</f>
        <v>-0.35278429045771098</v>
      </c>
      <c r="Z49" s="698">
        <f t="shared" ref="Z49:AA55" si="63">Z27-Z5</f>
        <v>-29.91172199436653</v>
      </c>
      <c r="AA49" s="698">
        <f>AA27-AA5</f>
        <v>-0.49629547533000107</v>
      </c>
      <c r="AB49" s="554"/>
      <c r="AC49" s="12"/>
      <c r="AE49" s="282"/>
    </row>
    <row r="50" spans="1:31" ht="16" thickBot="1">
      <c r="A50" s="565" t="s">
        <v>60</v>
      </c>
      <c r="B50" s="575" t="s">
        <v>59</v>
      </c>
      <c r="C50" s="707">
        <f t="shared" si="54"/>
        <v>-15.14970263795999</v>
      </c>
      <c r="D50" s="734">
        <f>D28-D6</f>
        <v>-9.8961108741352888E-2</v>
      </c>
      <c r="E50" s="698">
        <f t="shared" si="55"/>
        <v>-78.614787105303662</v>
      </c>
      <c r="F50" s="736">
        <f>F28-F6</f>
        <v>-1.0204191940666689</v>
      </c>
      <c r="G50" s="698">
        <f t="shared" si="56"/>
        <v>-48.411648144721767</v>
      </c>
      <c r="H50" s="736">
        <f t="shared" si="56"/>
        <v>-0.60398452427830129</v>
      </c>
      <c r="I50" s="698">
        <f t="shared" si="57"/>
        <v>-70.265908025964791</v>
      </c>
      <c r="J50" s="736">
        <f t="shared" si="57"/>
        <v>-0.91022298479065356</v>
      </c>
      <c r="K50" s="698">
        <f t="shared" si="58"/>
        <v>-24.631275940506839</v>
      </c>
      <c r="L50" s="736">
        <f t="shared" si="58"/>
        <v>-0.27701146052798187</v>
      </c>
      <c r="M50" s="554"/>
      <c r="N50" s="554"/>
      <c r="O50" s="554"/>
      <c r="P50" s="565" t="s">
        <v>61</v>
      </c>
      <c r="Q50" s="568" t="s">
        <v>63</v>
      </c>
      <c r="R50" s="707">
        <f t="shared" si="59"/>
        <v>16.753771623559942</v>
      </c>
      <c r="S50" s="707">
        <f t="shared" si="59"/>
        <v>0.18018035384989162</v>
      </c>
      <c r="T50" s="698">
        <f t="shared" si="60"/>
        <v>-6.1541960050165017</v>
      </c>
      <c r="U50" s="698">
        <f t="shared" si="60"/>
        <v>-0.11171659764701403</v>
      </c>
      <c r="V50" s="698">
        <f t="shared" si="61"/>
        <v>37.639032067907124</v>
      </c>
      <c r="W50" s="878">
        <f t="shared" si="61"/>
        <v>0.48099658633827502</v>
      </c>
      <c r="X50" s="698">
        <f t="shared" si="62"/>
        <v>128.10066390559757</v>
      </c>
      <c r="Y50" s="698">
        <f t="shared" si="62"/>
        <v>1.7058428233759741</v>
      </c>
      <c r="Z50" s="698">
        <f t="shared" si="63"/>
        <v>68.743010824559178</v>
      </c>
      <c r="AA50" s="698">
        <f t="shared" si="63"/>
        <v>0.90290335715086911</v>
      </c>
      <c r="AB50" s="554"/>
      <c r="AE50" s="282"/>
    </row>
    <row r="51" spans="1:31" ht="16" thickBot="1">
      <c r="A51" s="565" t="s">
        <v>60</v>
      </c>
      <c r="B51" s="568" t="s">
        <v>62</v>
      </c>
      <c r="C51" s="707">
        <f t="shared" si="54"/>
        <v>91.172575308961655</v>
      </c>
      <c r="D51" s="734">
        <f t="shared" si="54"/>
        <v>0.96042162052920332</v>
      </c>
      <c r="E51" s="698">
        <f t="shared" si="55"/>
        <v>-247.70639875962922</v>
      </c>
      <c r="F51" s="736">
        <f t="shared" si="55"/>
        <v>-3.5170407270020236</v>
      </c>
      <c r="G51" s="698">
        <f t="shared" si="56"/>
        <v>-261.64345933460027</v>
      </c>
      <c r="H51" s="736">
        <f t="shared" si="56"/>
        <v>-3.6994833973824557</v>
      </c>
      <c r="I51" s="698">
        <f t="shared" si="57"/>
        <v>-338.02197800548277</v>
      </c>
      <c r="J51" s="736">
        <f t="shared" si="57"/>
        <v>-4.7358624785170012</v>
      </c>
      <c r="K51" s="698">
        <f t="shared" si="58"/>
        <v>-258.24001415404098</v>
      </c>
      <c r="L51" s="736">
        <f t="shared" si="58"/>
        <v>-3.6504039287168606</v>
      </c>
      <c r="M51" s="554" t="s">
        <v>163</v>
      </c>
      <c r="N51" s="554"/>
      <c r="O51" s="554"/>
      <c r="P51" s="565" t="s">
        <v>61</v>
      </c>
      <c r="Q51" s="568" t="s">
        <v>65</v>
      </c>
      <c r="R51" s="707">
        <f t="shared" si="59"/>
        <v>35.957764432423801</v>
      </c>
      <c r="S51" s="707">
        <f t="shared" si="59"/>
        <v>0.10364130906921964</v>
      </c>
      <c r="T51" s="698">
        <f t="shared" si="60"/>
        <v>78.321096819381182</v>
      </c>
      <c r="U51" s="698">
        <f t="shared" si="60"/>
        <v>0.72237107791467459</v>
      </c>
      <c r="V51" s="698">
        <f t="shared" si="61"/>
        <v>80.793904888752763</v>
      </c>
      <c r="W51" s="878">
        <f t="shared" si="61"/>
        <v>0.7490512051418623</v>
      </c>
      <c r="X51" s="698">
        <f t="shared" si="62"/>
        <v>21.156618574701156</v>
      </c>
      <c r="Y51" s="698">
        <f t="shared" si="62"/>
        <v>3.8238120992113878E-2</v>
      </c>
      <c r="Z51" s="698">
        <f t="shared" si="63"/>
        <v>-15.693048858273528</v>
      </c>
      <c r="AA51" s="698">
        <f t="shared" si="63"/>
        <v>-0.39377994801191818</v>
      </c>
      <c r="AB51" s="554"/>
      <c r="AE51" s="282"/>
    </row>
    <row r="52" spans="1:31" ht="16" thickBot="1">
      <c r="A52" s="565" t="s">
        <v>60</v>
      </c>
      <c r="B52" s="568" t="s">
        <v>64</v>
      </c>
      <c r="C52" s="707">
        <f t="shared" si="54"/>
        <v>50.94200247120898</v>
      </c>
      <c r="D52" s="734">
        <f t="shared" si="54"/>
        <v>0.52068176256132404</v>
      </c>
      <c r="E52" s="698">
        <f t="shared" si="55"/>
        <v>7.9591338989249607</v>
      </c>
      <c r="F52" s="736">
        <f t="shared" si="55"/>
        <v>-4.2890848699832063E-2</v>
      </c>
      <c r="G52" s="698">
        <f t="shared" si="56"/>
        <v>1.9460743686794331</v>
      </c>
      <c r="H52" s="736">
        <f t="shared" si="56"/>
        <v>-0.12240199678731578</v>
      </c>
      <c r="I52" s="698">
        <f t="shared" si="57"/>
        <v>0</v>
      </c>
      <c r="J52" s="736">
        <f t="shared" si="57"/>
        <v>0</v>
      </c>
      <c r="K52" s="698">
        <f t="shared" si="58"/>
        <v>455.62916589001406</v>
      </c>
      <c r="L52" s="736">
        <f t="shared" si="58"/>
        <v>0</v>
      </c>
      <c r="M52" s="554" t="s">
        <v>164</v>
      </c>
      <c r="N52" s="554"/>
      <c r="O52" s="554"/>
      <c r="P52" s="570" t="s">
        <v>61</v>
      </c>
      <c r="Q52" s="568" t="s">
        <v>66</v>
      </c>
      <c r="R52" s="707">
        <f t="shared" si="59"/>
        <v>-67.875459572717773</v>
      </c>
      <c r="S52" s="707">
        <f t="shared" si="59"/>
        <v>-0.90538204660158073</v>
      </c>
      <c r="T52" s="698">
        <f t="shared" si="60"/>
        <v>-6.0872006969865424</v>
      </c>
      <c r="U52" s="698">
        <f t="shared" si="60"/>
        <v>-0.13249100970284822</v>
      </c>
      <c r="V52" s="698">
        <f t="shared" si="61"/>
        <v>8.053998614205625</v>
      </c>
      <c r="W52" s="878">
        <f t="shared" si="61"/>
        <v>3.0497435194586586E-2</v>
      </c>
      <c r="X52" s="698">
        <f t="shared" si="62"/>
        <v>35.724186117344743</v>
      </c>
      <c r="Y52" s="698">
        <f t="shared" si="62"/>
        <v>0.35418066248528035</v>
      </c>
      <c r="Z52" s="698">
        <f t="shared" si="63"/>
        <v>-10.102967704933235</v>
      </c>
      <c r="AA52" s="698">
        <f t="shared" si="63"/>
        <v>-0.17753944808179334</v>
      </c>
      <c r="AB52" s="554"/>
      <c r="AE52" s="282"/>
    </row>
    <row r="53" spans="1:31" ht="16" thickBot="1">
      <c r="A53" s="570" t="s">
        <v>60</v>
      </c>
      <c r="B53" s="568" t="s">
        <v>67</v>
      </c>
      <c r="C53" s="707">
        <f t="shared" si="54"/>
        <v>-23.982858654686197</v>
      </c>
      <c r="D53" s="734">
        <f t="shared" si="54"/>
        <v>-0.36211693906026987</v>
      </c>
      <c r="E53" s="698">
        <f t="shared" si="55"/>
        <v>-29.700978556562291</v>
      </c>
      <c r="F53" s="736">
        <f t="shared" si="55"/>
        <v>-0.4274881097858021</v>
      </c>
      <c r="G53" s="698">
        <f t="shared" si="56"/>
        <v>-53.126633731650713</v>
      </c>
      <c r="H53" s="736">
        <f t="shared" si="56"/>
        <v>-0.74399985081604214</v>
      </c>
      <c r="I53" s="698">
        <f t="shared" si="57"/>
        <v>-42.79773452085908</v>
      </c>
      <c r="J53" s="736">
        <f t="shared" si="57"/>
        <v>-0.60297765849288076</v>
      </c>
      <c r="K53" s="698">
        <f t="shared" si="58"/>
        <v>22.301861973436075</v>
      </c>
      <c r="L53" s="736">
        <f t="shared" si="58"/>
        <v>0.27631219124305773</v>
      </c>
      <c r="M53" s="554"/>
      <c r="N53" s="554"/>
      <c r="O53" s="554"/>
      <c r="P53" s="565" t="s">
        <v>61</v>
      </c>
      <c r="Q53" s="568" t="s">
        <v>69</v>
      </c>
      <c r="R53" s="707">
        <f t="shared" si="59"/>
        <v>32.739548683714929</v>
      </c>
      <c r="S53" s="707">
        <f t="shared" si="59"/>
        <v>0.54929692195096358</v>
      </c>
      <c r="T53" s="698">
        <f t="shared" si="60"/>
        <v>-5.258670934968336</v>
      </c>
      <c r="U53" s="698">
        <f t="shared" si="60"/>
        <v>-1.3695822825729564E-2</v>
      </c>
      <c r="V53" s="698">
        <f t="shared" si="61"/>
        <v>19.525235996678589</v>
      </c>
      <c r="W53" s="878">
        <f t="shared" si="61"/>
        <v>0.33605802679759478</v>
      </c>
      <c r="X53" s="698">
        <f t="shared" si="62"/>
        <v>24.160732926892138</v>
      </c>
      <c r="Y53" s="698">
        <f t="shared" si="62"/>
        <v>0.40272938594224783</v>
      </c>
      <c r="Z53" s="698">
        <f t="shared" si="63"/>
        <v>9.9492462264910273</v>
      </c>
      <c r="AA53" s="698">
        <f t="shared" si="63"/>
        <v>0.2015408659742679</v>
      </c>
      <c r="AB53" s="554"/>
      <c r="AE53" s="282"/>
    </row>
    <row r="54" spans="1:31" ht="16" thickBot="1">
      <c r="A54" s="565" t="s">
        <v>60</v>
      </c>
      <c r="B54" s="568" t="s">
        <v>68</v>
      </c>
      <c r="C54" s="707">
        <f t="shared" si="54"/>
        <v>15.73318993237217</v>
      </c>
      <c r="D54" s="734">
        <f t="shared" si="54"/>
        <v>0.11543202766312355</v>
      </c>
      <c r="E54" s="698">
        <f t="shared" si="55"/>
        <v>3.3839575690105903</v>
      </c>
      <c r="F54" s="736">
        <f t="shared" si="55"/>
        <v>-2.0916732806137261E-2</v>
      </c>
      <c r="G54" s="698">
        <f t="shared" si="56"/>
        <v>-36.018628604611536</v>
      </c>
      <c r="H54" s="736">
        <f t="shared" si="56"/>
        <v>-0.53306325634152429</v>
      </c>
      <c r="I54" s="698">
        <f t="shared" si="57"/>
        <v>-11.287103820501216</v>
      </c>
      <c r="J54" s="736">
        <f t="shared" si="57"/>
        <v>-0.20676824367292568</v>
      </c>
      <c r="K54" s="698">
        <f t="shared" si="58"/>
        <v>-28.712510244399368</v>
      </c>
      <c r="L54" s="736">
        <f t="shared" si="58"/>
        <v>-0.43201652676245494</v>
      </c>
      <c r="M54" s="554"/>
      <c r="N54" s="554"/>
      <c r="O54" s="554"/>
      <c r="P54" s="565" t="s">
        <v>61</v>
      </c>
      <c r="Q54" s="568" t="s">
        <v>70</v>
      </c>
      <c r="R54" s="707">
        <f t="shared" si="59"/>
        <v>10.769642027479335</v>
      </c>
      <c r="S54" s="707">
        <f t="shared" si="59"/>
        <v>1.761077038197989E-2</v>
      </c>
      <c r="T54" s="698">
        <f t="shared" si="60"/>
        <v>61.395149936492317</v>
      </c>
      <c r="U54" s="698">
        <f t="shared" si="60"/>
        <v>0.86977590620514</v>
      </c>
      <c r="V54" s="698">
        <f t="shared" si="61"/>
        <v>51.853080636310892</v>
      </c>
      <c r="W54" s="878">
        <f t="shared" si="61"/>
        <v>0.71471027318986557</v>
      </c>
      <c r="X54" s="698">
        <f t="shared" si="62"/>
        <v>63.198913061698363</v>
      </c>
      <c r="Y54" s="698">
        <f t="shared" si="62"/>
        <v>0.89702585912125699</v>
      </c>
      <c r="Z54" s="698">
        <f t="shared" si="63"/>
        <v>78.629544848403498</v>
      </c>
      <c r="AA54" s="698">
        <f t="shared" si="63"/>
        <v>1.1530908157574373</v>
      </c>
      <c r="AB54" s="554"/>
      <c r="AE54" s="282"/>
    </row>
    <row r="55" spans="1:31" ht="16" thickBot="1">
      <c r="A55" s="565" t="s">
        <v>60</v>
      </c>
      <c r="B55" s="568" t="s">
        <v>71</v>
      </c>
      <c r="C55" s="707">
        <f t="shared" si="54"/>
        <v>162.69374596970169</v>
      </c>
      <c r="D55" s="734">
        <f t="shared" si="54"/>
        <v>1.9010300236691382</v>
      </c>
      <c r="E55" s="698">
        <f t="shared" si="55"/>
        <v>-9.3804818755540964</v>
      </c>
      <c r="F55" s="736">
        <f t="shared" si="55"/>
        <v>-0.23760192465411478</v>
      </c>
      <c r="G55" s="698">
        <f t="shared" si="56"/>
        <v>13.822560901243946</v>
      </c>
      <c r="H55" s="736">
        <f t="shared" si="56"/>
        <v>6.0117156339089206E-2</v>
      </c>
      <c r="I55" s="698">
        <f t="shared" si="57"/>
        <v>-19.959052002334943</v>
      </c>
      <c r="J55" s="736">
        <f t="shared" si="57"/>
        <v>-0.36614461325118342</v>
      </c>
      <c r="K55" s="698">
        <f t="shared" si="58"/>
        <v>-27.700003242482694</v>
      </c>
      <c r="L55" s="736">
        <f t="shared" si="58"/>
        <v>-0.46035695998006432</v>
      </c>
      <c r="M55" s="554"/>
      <c r="N55" s="554"/>
      <c r="O55" s="554"/>
      <c r="P55" s="571" t="s">
        <v>61</v>
      </c>
      <c r="Q55" s="568" t="s">
        <v>74</v>
      </c>
      <c r="R55" s="707">
        <f t="shared" si="59"/>
        <v>-9.4244079685415727</v>
      </c>
      <c r="S55" s="707">
        <f t="shared" si="59"/>
        <v>-0.1207490603671495</v>
      </c>
      <c r="T55" s="698">
        <f t="shared" si="60"/>
        <v>0.17574699894271362</v>
      </c>
      <c r="U55" s="698">
        <f t="shared" si="60"/>
        <v>1.7335411233736053E-2</v>
      </c>
      <c r="V55" s="698">
        <f t="shared" si="61"/>
        <v>-68.752185641280334</v>
      </c>
      <c r="W55" s="878">
        <f t="shared" si="61"/>
        <v>-1.034217441368174</v>
      </c>
      <c r="X55" s="698">
        <f t="shared" si="62"/>
        <v>-8.0012616669708905</v>
      </c>
      <c r="Y55" s="698">
        <f t="shared" si="62"/>
        <v>-0.10773579384492571</v>
      </c>
      <c r="Z55" s="698">
        <f t="shared" si="63"/>
        <v>41.631683946967087</v>
      </c>
      <c r="AA55" s="698">
        <f t="shared" si="63"/>
        <v>0.64820522112210632</v>
      </c>
      <c r="AB55" s="554"/>
      <c r="AE55" s="282"/>
    </row>
    <row r="56" spans="1:31" ht="16" thickBot="1">
      <c r="A56" s="565" t="s">
        <v>60</v>
      </c>
      <c r="B56" s="568" t="s">
        <v>72</v>
      </c>
      <c r="C56" s="707">
        <f t="shared" si="54"/>
        <v>242.41044432249555</v>
      </c>
      <c r="D56" s="734">
        <f t="shared" si="54"/>
        <v>3.1846130485365869</v>
      </c>
      <c r="E56" s="698">
        <f t="shared" si="55"/>
        <v>14.365164610926627</v>
      </c>
      <c r="F56" s="736">
        <f t="shared" si="55"/>
        <v>4.5680520744692643E-2</v>
      </c>
      <c r="G56" s="698">
        <f t="shared" si="56"/>
        <v>17.855287496987557</v>
      </c>
      <c r="H56" s="736">
        <f t="shared" si="56"/>
        <v>9.6497489114499402E-2</v>
      </c>
      <c r="I56" s="698">
        <f t="shared" si="57"/>
        <v>-12.22468317661594</v>
      </c>
      <c r="J56" s="736">
        <f t="shared" si="57"/>
        <v>-0.32092364580567434</v>
      </c>
      <c r="K56" s="698">
        <f t="shared" si="58"/>
        <v>-58.732022118506961</v>
      </c>
      <c r="L56" s="736">
        <f t="shared" si="58"/>
        <v>-0.97360457606241901</v>
      </c>
      <c r="M56" s="554"/>
      <c r="N56" s="554"/>
      <c r="O56" s="554"/>
      <c r="P56" s="554"/>
      <c r="Q56" s="572" t="s">
        <v>76</v>
      </c>
      <c r="R56" s="574">
        <f>AVERAGE(R49:R55)</f>
        <v>7.6732583495507276</v>
      </c>
      <c r="S56" s="574">
        <f>AVERAGE(S49:S55)</f>
        <v>1.7392903973350218E-2</v>
      </c>
      <c r="T56" s="574">
        <f t="shared" ref="T56:Z56" si="64">AVERAGE(T49:T55)</f>
        <v>15.939908327503336</v>
      </c>
      <c r="U56" s="574">
        <f t="shared" si="64"/>
        <v>0.15642761123896548</v>
      </c>
      <c r="V56" s="574">
        <f t="shared" si="64"/>
        <v>17.451828323211867</v>
      </c>
      <c r="W56" s="574">
        <f t="shared" si="64"/>
        <v>0.15408880369934533</v>
      </c>
      <c r="X56" s="574">
        <f t="shared" si="64"/>
        <v>35.068220436573888</v>
      </c>
      <c r="Y56" s="574">
        <f t="shared" si="64"/>
        <v>0.41964239537346237</v>
      </c>
      <c r="Z56" s="574">
        <f t="shared" si="64"/>
        <v>20.463678184121072</v>
      </c>
      <c r="AA56" s="574">
        <f>AVERAGE(AA49:AA55)</f>
        <v>0.26258934122585259</v>
      </c>
      <c r="AB56" s="554"/>
      <c r="AE56" s="282"/>
    </row>
    <row r="57" spans="1:31" ht="16" thickBot="1">
      <c r="A57" s="571" t="s">
        <v>60</v>
      </c>
      <c r="B57" s="568" t="s">
        <v>73</v>
      </c>
      <c r="C57" s="707">
        <f t="shared" si="54"/>
        <v>18.063862802246717</v>
      </c>
      <c r="D57" s="734">
        <f t="shared" si="54"/>
        <v>0.35200868680638742</v>
      </c>
      <c r="E57" s="698">
        <f t="shared" si="55"/>
        <v>-85.500606270274602</v>
      </c>
      <c r="F57" s="736">
        <f t="shared" si="55"/>
        <v>-1.1376079084935427</v>
      </c>
      <c r="G57" s="698">
        <f t="shared" si="56"/>
        <v>-38.36843039529856</v>
      </c>
      <c r="H57" s="736">
        <f t="shared" si="56"/>
        <v>-0.47539882643441445</v>
      </c>
      <c r="I57" s="698">
        <f t="shared" si="57"/>
        <v>23.428466767555051</v>
      </c>
      <c r="J57" s="736">
        <f t="shared" si="57"/>
        <v>0.39568477977102035</v>
      </c>
      <c r="K57" s="698">
        <f t="shared" si="58"/>
        <v>41.084737368553078</v>
      </c>
      <c r="L57" s="736">
        <f t="shared" si="58"/>
        <v>0.64636947849439075</v>
      </c>
      <c r="M57" s="554"/>
      <c r="N57" s="554"/>
      <c r="O57" s="554"/>
      <c r="P57" s="554"/>
      <c r="Q57" s="572" t="s">
        <v>13</v>
      </c>
      <c r="R57" s="574">
        <f>STDEVA(R49:R55)</f>
        <v>37.093885112576615</v>
      </c>
      <c r="S57" s="574">
        <f t="shared" ref="S57:AA57" si="65">STDEVA(S49:S55)</f>
        <v>0.45929701375290471</v>
      </c>
      <c r="T57" s="574">
        <f t="shared" si="65"/>
        <v>37.29280129612021</v>
      </c>
      <c r="U57" s="574">
        <f t="shared" si="65"/>
        <v>0.44784701456409676</v>
      </c>
      <c r="V57" s="574">
        <f t="shared" si="65"/>
        <v>47.823286840195088</v>
      </c>
      <c r="W57" s="574">
        <f t="shared" si="65"/>
        <v>0.62715038077142382</v>
      </c>
      <c r="X57" s="574">
        <f t="shared" si="65"/>
        <v>49.198221569458411</v>
      </c>
      <c r="Y57" s="574">
        <f t="shared" si="65"/>
        <v>0.69606246855415088</v>
      </c>
      <c r="Z57" s="574">
        <f t="shared" si="65"/>
        <v>42.918739976162136</v>
      </c>
      <c r="AA57" s="574">
        <f t="shared" si="65"/>
        <v>0.65266908385523326</v>
      </c>
      <c r="AB57" s="554"/>
      <c r="AE57" s="282"/>
    </row>
    <row r="58" spans="1:31">
      <c r="A58" s="554"/>
      <c r="B58" s="572" t="s">
        <v>76</v>
      </c>
      <c r="C58" s="574">
        <f>AVERAGE(C49:C57)</f>
        <v>62.855949560001946</v>
      </c>
      <c r="D58" s="574">
        <f>AVERAGE(D49:D57)</f>
        <v>0.7500858379616262</v>
      </c>
      <c r="E58" s="574">
        <f t="shared" ref="E58:K58" si="66">AVERAGE(E49:E57)</f>
        <v>-51.146590767432862</v>
      </c>
      <c r="F58" s="574">
        <f>AVERAGE(F49:F57)</f>
        <v>-0.76521007246377915</v>
      </c>
      <c r="G58" s="574">
        <f t="shared" si="66"/>
        <v>-49.60813789398982</v>
      </c>
      <c r="H58" s="574">
        <f t="shared" si="66"/>
        <v>-0.7377700269191021</v>
      </c>
      <c r="I58" s="574">
        <f t="shared" si="66"/>
        <v>-55.488666822279782</v>
      </c>
      <c r="J58" s="574">
        <f t="shared" si="66"/>
        <v>-0.79826915081305339</v>
      </c>
      <c r="K58" s="574">
        <f t="shared" si="66"/>
        <v>12.878202412309317</v>
      </c>
      <c r="L58" s="574">
        <f>AVERAGE(L49:L57)</f>
        <v>-0.55725004060545347</v>
      </c>
      <c r="M58" s="554"/>
      <c r="N58" s="554"/>
      <c r="O58" s="554"/>
      <c r="P58" s="554"/>
      <c r="Q58" s="572" t="s">
        <v>14</v>
      </c>
      <c r="R58" s="574">
        <f>R57/SQRT(COUNT(R49:R55))</f>
        <v>14.020170738439839</v>
      </c>
      <c r="S58" s="574">
        <f t="shared" ref="S58:AA58" si="67">S57/SQRT(COUNT(S49:S55))</f>
        <v>0.17359795375782841</v>
      </c>
      <c r="T58" s="574">
        <f t="shared" si="67"/>
        <v>14.095353988925901</v>
      </c>
      <c r="U58" s="574">
        <f>U57/SQRT(COUNT(U49:U55))</f>
        <v>0.16927026084847455</v>
      </c>
      <c r="V58" s="574">
        <f t="shared" si="67"/>
        <v>18.075503408123446</v>
      </c>
      <c r="W58" s="574">
        <f t="shared" si="67"/>
        <v>0.23704056316580738</v>
      </c>
      <c r="X58" s="574">
        <f t="shared" si="67"/>
        <v>18.595179888491543</v>
      </c>
      <c r="Y58" s="574">
        <f t="shared" si="67"/>
        <v>0.26308688410857145</v>
      </c>
      <c r="Z58" s="574">
        <f t="shared" si="67"/>
        <v>16.221758937310174</v>
      </c>
      <c r="AA58" s="574">
        <f t="shared" si="67"/>
        <v>0.24668572632875835</v>
      </c>
      <c r="AB58" s="554"/>
      <c r="AE58" s="282"/>
    </row>
    <row r="59" spans="1:31">
      <c r="A59" s="554"/>
      <c r="B59" s="572" t="s">
        <v>13</v>
      </c>
      <c r="C59" s="574">
        <f>STDEVA(C49:C57)</f>
        <v>88.407935515529374</v>
      </c>
      <c r="D59" s="574">
        <f>STDEVA(D49:D57)</f>
        <v>1.1288964005800604</v>
      </c>
      <c r="E59" s="574">
        <f t="shared" ref="E59:L59" si="68">STDEVA(E49:E57)</f>
        <v>81.998743187259166</v>
      </c>
      <c r="F59" s="574">
        <f t="shared" si="68"/>
        <v>1.1156866206357678</v>
      </c>
      <c r="G59" s="574">
        <f t="shared" si="68"/>
        <v>84.088139805557134</v>
      </c>
      <c r="H59" s="574">
        <f t="shared" si="68"/>
        <v>1.1524986388899661</v>
      </c>
      <c r="I59" s="574">
        <f t="shared" si="68"/>
        <v>109.16739669233027</v>
      </c>
      <c r="J59" s="574">
        <f t="shared" si="68"/>
        <v>1.5212208273567329</v>
      </c>
      <c r="K59" s="574">
        <f t="shared" si="68"/>
        <v>187.30067957474338</v>
      </c>
      <c r="L59" s="574">
        <f t="shared" si="68"/>
        <v>1.2484461209121029</v>
      </c>
      <c r="M59" s="554"/>
      <c r="N59" s="554"/>
      <c r="O59" s="554"/>
      <c r="P59" s="554"/>
      <c r="Q59" s="572" t="s">
        <v>99</v>
      </c>
      <c r="R59" s="554"/>
      <c r="S59" s="554"/>
      <c r="T59" s="554">
        <f>(T56-T36)/T37</f>
        <v>-117.23367952894887</v>
      </c>
      <c r="U59" s="554"/>
      <c r="V59" s="554">
        <f>(V56-V36)/V37</f>
        <v>-89.18570820340264</v>
      </c>
      <c r="W59" s="554"/>
      <c r="X59" s="554">
        <f>(X56-X36)/X37</f>
        <v>17.350281660995627</v>
      </c>
      <c r="Y59" s="554"/>
      <c r="Z59" s="554">
        <f>(Z56-Z36)/Z37</f>
        <v>-36.8833426738707</v>
      </c>
      <c r="AA59" s="554"/>
      <c r="AB59" s="554"/>
      <c r="AE59" s="282"/>
    </row>
    <row r="60" spans="1:31">
      <c r="A60" s="554"/>
      <c r="B60" s="572" t="s">
        <v>14</v>
      </c>
      <c r="C60" s="574">
        <f>C59/SQRT(COUNT(C49:C57))</f>
        <v>29.469311838509793</v>
      </c>
      <c r="D60" s="574">
        <f t="shared" ref="D60:L60" si="69">D59/SQRT(COUNT(D49:D57))</f>
        <v>0.37629880019335343</v>
      </c>
      <c r="E60" s="574">
        <f t="shared" si="69"/>
        <v>27.332914395753054</v>
      </c>
      <c r="F60" s="574">
        <f t="shared" si="69"/>
        <v>0.37189554021192262</v>
      </c>
      <c r="G60" s="574">
        <f t="shared" si="69"/>
        <v>28.029379935185712</v>
      </c>
      <c r="H60" s="574">
        <f t="shared" si="69"/>
        <v>0.38416621296332204</v>
      </c>
      <c r="I60" s="574">
        <f t="shared" si="69"/>
        <v>36.38913223077676</v>
      </c>
      <c r="J60" s="574">
        <f t="shared" si="69"/>
        <v>0.50707360911891097</v>
      </c>
      <c r="K60" s="574">
        <f t="shared" si="69"/>
        <v>62.433559858247797</v>
      </c>
      <c r="L60" s="574">
        <f t="shared" si="69"/>
        <v>0.416148706970701</v>
      </c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554"/>
      <c r="AA60" s="554"/>
      <c r="AB60" s="554"/>
      <c r="AE60" s="282"/>
    </row>
    <row r="61" spans="1:31">
      <c r="A61" s="554"/>
      <c r="B61" s="572" t="s">
        <v>99</v>
      </c>
      <c r="C61" s="574">
        <f>(R56-C58)/C62</f>
        <v>-0.28885239628290216</v>
      </c>
      <c r="D61" s="821">
        <f>(S56-D58)/D62</f>
        <v>-0.35881699976471715</v>
      </c>
      <c r="E61" s="574"/>
      <c r="F61" s="824">
        <f>(U12-F14)/F62</f>
        <v>-1.1728008435311612</v>
      </c>
      <c r="G61" s="574"/>
      <c r="H61" s="824">
        <f>(W12-H14)/H62</f>
        <v>-1.1138697708054439</v>
      </c>
      <c r="I61" s="574"/>
      <c r="J61" s="824">
        <f>(Y12-J14)/J62</f>
        <v>-1.7097158155741743</v>
      </c>
      <c r="K61" s="574"/>
      <c r="L61" s="824">
        <f>(AA12-L14)/L62</f>
        <v>-1.5580611595028362</v>
      </c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554"/>
      <c r="Z61" s="554"/>
      <c r="AA61" s="554"/>
      <c r="AB61" s="554"/>
      <c r="AE61" s="282"/>
    </row>
    <row r="62" spans="1:31">
      <c r="A62" s="554"/>
      <c r="B62" s="554" t="s">
        <v>100</v>
      </c>
      <c r="C62" s="554">
        <f>SQRT((((7-1)*(R13^2)+((9-1)*C15^2))/(9+7-2)))</f>
        <v>191.04114045986748</v>
      </c>
      <c r="D62" s="554">
        <f>SQRT((((7-1)*(S13^2)+((9-1)*D15^2))/(9+7-2)))</f>
        <v>2.0419682859750683</v>
      </c>
      <c r="E62" s="554"/>
      <c r="F62" s="554">
        <f>SQRT((((7-1)*(U13^2)+((9-1)*F15^2))/(9+7-2)))</f>
        <v>0.80169962458804145</v>
      </c>
      <c r="G62" s="554"/>
      <c r="H62" s="554">
        <f>SQRT((((7-1)*(W13^2)+((9-1)*H15^2))/(9+7-2)))</f>
        <v>0.63499168583074095</v>
      </c>
      <c r="I62" s="554"/>
      <c r="J62" s="554">
        <f>SQRT((((7-1)*(Y13^2)+((8-1)*J15^2))/(8+7-2)))</f>
        <v>0.52648831580682653</v>
      </c>
      <c r="K62" s="554"/>
      <c r="L62" s="554">
        <f>SQRT((((7-1)*(AA13^2)+((8-1)*L15^2))/(8+7-2)))</f>
        <v>0.46559495723993999</v>
      </c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554"/>
      <c r="AA62" s="554"/>
      <c r="AB62" s="554"/>
      <c r="AE62" s="282"/>
    </row>
    <row r="63" spans="1:31">
      <c r="A63" s="554"/>
      <c r="B63" s="554"/>
      <c r="C63" s="554"/>
      <c r="D63" s="554"/>
      <c r="E63" s="554"/>
      <c r="F63" s="554"/>
      <c r="G63" s="554"/>
      <c r="H63" s="554"/>
      <c r="I63" s="554"/>
      <c r="J63" s="554"/>
      <c r="K63" s="554"/>
      <c r="L63" s="554"/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E63" s="282"/>
    </row>
    <row r="64" spans="1:31">
      <c r="B64" s="572" t="s">
        <v>99</v>
      </c>
      <c r="D64" s="821">
        <f>(S56-D58)/D62</f>
        <v>-0.35881699976471715</v>
      </c>
      <c r="F64" s="821">
        <f>(U56-F58)/F62</f>
        <v>1.1496047340378064</v>
      </c>
      <c r="G64" s="124"/>
      <c r="H64" s="821">
        <f>(W56-H58)/H62</f>
        <v>1.4045204851015565</v>
      </c>
      <c r="I64" s="124"/>
      <c r="J64" s="821">
        <f>(Y56-J58)/J62</f>
        <v>2.3132736465767625</v>
      </c>
      <c r="K64" s="124"/>
      <c r="L64" s="821">
        <f>(AA56-L58)/L62</f>
        <v>1.7608424856904314</v>
      </c>
      <c r="M64" t="s">
        <v>297</v>
      </c>
      <c r="N64" s="18"/>
      <c r="AE64" s="282"/>
    </row>
    <row r="65" spans="1:31">
      <c r="AE65" s="282"/>
    </row>
    <row r="66" spans="1:31" ht="16" thickBot="1">
      <c r="A66" s="313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E66" s="282"/>
    </row>
    <row r="67" spans="1:31" ht="16" thickBot="1">
      <c r="A67" s="1488" t="s">
        <v>177</v>
      </c>
      <c r="B67" s="1489"/>
      <c r="C67" s="1488" t="s">
        <v>159</v>
      </c>
      <c r="D67" s="1489"/>
      <c r="E67" s="1408" t="s">
        <v>151</v>
      </c>
      <c r="F67" s="1410"/>
      <c r="G67" s="1410" t="s">
        <v>153</v>
      </c>
      <c r="H67" s="1408"/>
      <c r="I67" s="1494" t="s">
        <v>154</v>
      </c>
      <c r="J67" s="1494"/>
      <c r="K67" s="1410" t="s">
        <v>155</v>
      </c>
      <c r="L67" s="1494"/>
      <c r="M67" s="313"/>
      <c r="N67" s="313"/>
      <c r="O67" s="313"/>
      <c r="P67" s="1488" t="s">
        <v>177</v>
      </c>
      <c r="Q67" s="1495"/>
      <c r="R67" s="1488" t="s">
        <v>159</v>
      </c>
      <c r="S67" s="1495"/>
      <c r="T67" s="1408" t="s">
        <v>151</v>
      </c>
      <c r="U67" s="1410"/>
      <c r="V67" s="1494" t="s">
        <v>153</v>
      </c>
      <c r="W67" s="1494"/>
      <c r="X67" s="1494" t="s">
        <v>154</v>
      </c>
      <c r="Y67" s="1494"/>
      <c r="Z67" s="1494" t="s">
        <v>155</v>
      </c>
      <c r="AA67" s="1494"/>
      <c r="AB67" s="313"/>
      <c r="AE67" s="282"/>
    </row>
    <row r="68" spans="1:31">
      <c r="A68" s="1490"/>
      <c r="B68" s="1491"/>
      <c r="C68" s="388" t="s">
        <v>152</v>
      </c>
      <c r="D68" s="396" t="s">
        <v>152</v>
      </c>
      <c r="E68" s="860" t="s">
        <v>152</v>
      </c>
      <c r="F68" s="396" t="s">
        <v>152</v>
      </c>
      <c r="G68" s="860" t="s">
        <v>152</v>
      </c>
      <c r="H68" s="396" t="s">
        <v>152</v>
      </c>
      <c r="I68" s="860" t="s">
        <v>152</v>
      </c>
      <c r="J68" s="396" t="s">
        <v>152</v>
      </c>
      <c r="K68" s="860" t="s">
        <v>152</v>
      </c>
      <c r="L68" s="396" t="s">
        <v>152</v>
      </c>
      <c r="M68" s="313"/>
      <c r="N68" s="313"/>
      <c r="O68" s="313"/>
      <c r="P68" s="1490"/>
      <c r="Q68" s="1491"/>
      <c r="R68" s="388" t="s">
        <v>152</v>
      </c>
      <c r="S68" s="396" t="s">
        <v>152</v>
      </c>
      <c r="T68" s="880" t="s">
        <v>152</v>
      </c>
      <c r="U68" s="396" t="s">
        <v>152</v>
      </c>
      <c r="V68" s="880" t="s">
        <v>152</v>
      </c>
      <c r="W68" s="396" t="s">
        <v>152</v>
      </c>
      <c r="X68" s="880" t="s">
        <v>152</v>
      </c>
      <c r="Y68" s="396" t="s">
        <v>152</v>
      </c>
      <c r="Z68" s="880" t="s">
        <v>152</v>
      </c>
      <c r="AA68" s="396" t="s">
        <v>152</v>
      </c>
      <c r="AB68" s="313"/>
      <c r="AE68" s="282"/>
    </row>
    <row r="69" spans="1:31" ht="16" thickBot="1">
      <c r="A69" s="1492"/>
      <c r="B69" s="1493"/>
      <c r="C69" s="879" t="s">
        <v>3</v>
      </c>
      <c r="D69" s="398" t="s">
        <v>21</v>
      </c>
      <c r="E69" s="861" t="s">
        <v>3</v>
      </c>
      <c r="F69" s="398" t="s">
        <v>21</v>
      </c>
      <c r="G69" s="861" t="s">
        <v>3</v>
      </c>
      <c r="H69" s="398" t="s">
        <v>21</v>
      </c>
      <c r="I69" s="861" t="s">
        <v>3</v>
      </c>
      <c r="J69" s="398" t="s">
        <v>21</v>
      </c>
      <c r="K69" s="861" t="s">
        <v>3</v>
      </c>
      <c r="L69" s="398" t="s">
        <v>21</v>
      </c>
      <c r="M69" s="313"/>
      <c r="N69" s="313"/>
      <c r="O69" s="313"/>
      <c r="P69" s="1492"/>
      <c r="Q69" s="1493"/>
      <c r="R69" s="879" t="s">
        <v>3</v>
      </c>
      <c r="S69" s="398" t="s">
        <v>21</v>
      </c>
      <c r="T69" s="372" t="s">
        <v>3</v>
      </c>
      <c r="U69" s="398" t="s">
        <v>21</v>
      </c>
      <c r="V69" s="372" t="s">
        <v>3</v>
      </c>
      <c r="W69" s="398" t="s">
        <v>21</v>
      </c>
      <c r="X69" s="372" t="s">
        <v>3</v>
      </c>
      <c r="Y69" s="398" t="s">
        <v>21</v>
      </c>
      <c r="Z69" s="372" t="s">
        <v>3</v>
      </c>
      <c r="AA69" s="398" t="s">
        <v>21</v>
      </c>
      <c r="AB69" s="313"/>
      <c r="AE69" s="282"/>
    </row>
    <row r="70" spans="1:31" ht="16" thickBot="1">
      <c r="A70" s="322" t="s">
        <v>60</v>
      </c>
      <c r="B70" s="328" t="s">
        <v>57</v>
      </c>
      <c r="C70" s="739">
        <f>(C27-C5)/C5*100</f>
        <v>2.1952249707449876</v>
      </c>
      <c r="D70" s="739">
        <f>(D27-D5)/D5*100</f>
        <v>1.3065708405645935</v>
      </c>
      <c r="E70" s="741">
        <f t="shared" ref="E70:F78" si="70">(E27-E5)/E5*100</f>
        <v>-4.1476817121604093</v>
      </c>
      <c r="F70" s="741">
        <f>(F27-F5)/F5*100</f>
        <v>-4.9811801320546563</v>
      </c>
      <c r="G70" s="741">
        <f t="shared" ref="G70:H78" si="71">(G27-G5)/G5*100</f>
        <v>-5.1542810589618631</v>
      </c>
      <c r="H70" s="741">
        <f>(H27-H5)/H5*100</f>
        <v>-5.9790264410578517</v>
      </c>
      <c r="I70" s="741">
        <f>(I27-I5)/I5*100</f>
        <v>-3.5808737621783786</v>
      </c>
      <c r="J70" s="741">
        <f>(J27-J5)/J5*100</f>
        <v>-4.4193009468550972</v>
      </c>
      <c r="K70" s="741">
        <f>(K27-K5)/K5*100</f>
        <v>-0.68360850419081665</v>
      </c>
      <c r="L70" s="741">
        <f>(L27-L5)/L5*100</f>
        <v>-1.5472292998065467</v>
      </c>
      <c r="M70" s="313"/>
      <c r="N70" s="313"/>
      <c r="O70" s="313"/>
      <c r="P70" s="343" t="s">
        <v>61</v>
      </c>
      <c r="Q70" s="328" t="s">
        <v>58</v>
      </c>
      <c r="R70" s="739">
        <f t="shared" ref="R70:S76" si="72">(R27-R5)/R5*100</f>
        <v>2.9934736879120378</v>
      </c>
      <c r="S70" s="739">
        <f>(S27-S5)/S5*100</f>
        <v>1.8919392099664625</v>
      </c>
      <c r="T70" s="741">
        <f t="shared" ref="T70:U76" si="73">(T27-T5)/T5*100</f>
        <v>-1.3948931492302965</v>
      </c>
      <c r="U70" s="741">
        <f>(U27-U5)/U5*100</f>
        <v>-2.4494932225005615</v>
      </c>
      <c r="V70" s="741">
        <f t="shared" ref="V70:W76" si="74">(V27-V5)/V5*100</f>
        <v>-0.95164184266923713</v>
      </c>
      <c r="W70" s="741">
        <f>(W27-W5)/W5*100</f>
        <v>-2.0109825716246532</v>
      </c>
      <c r="X70" s="741">
        <f t="shared" ref="X70:Y76" si="75">(X27-X5)/X5*100</f>
        <v>-2.7095147616441131</v>
      </c>
      <c r="Y70" s="741">
        <f>(Y27-Y5)/Y5*100</f>
        <v>-3.7500547107174382</v>
      </c>
      <c r="Z70" s="741">
        <f t="shared" ref="Z70:AA76" si="76">(Z27-Z5)/Z5*100</f>
        <v>-4.4842867217748763</v>
      </c>
      <c r="AA70" s="741">
        <f>(AA27-AA5)/AA5*100</f>
        <v>-5.5058451525580283</v>
      </c>
      <c r="AB70" s="313"/>
      <c r="AE70" s="282"/>
    </row>
    <row r="71" spans="1:31" ht="16" thickBot="1">
      <c r="A71" s="322" t="s">
        <v>60</v>
      </c>
      <c r="B71" s="331" t="s">
        <v>59</v>
      </c>
      <c r="C71" s="739">
        <f t="shared" ref="C71:D78" si="77">(C28-C6)/C6*100</f>
        <v>-1.3028176392521458</v>
      </c>
      <c r="D71" s="739">
        <f t="shared" si="77"/>
        <v>-0.61359150544804453</v>
      </c>
      <c r="E71" s="741">
        <f t="shared" si="70"/>
        <v>-9.8181367649747067</v>
      </c>
      <c r="F71" s="741">
        <f t="shared" si="70"/>
        <v>-9.1883751502049709</v>
      </c>
      <c r="G71" s="741">
        <f t="shared" si="71"/>
        <v>-6.4983075474691283</v>
      </c>
      <c r="H71" s="741">
        <f t="shared" si="71"/>
        <v>-5.8453627677726852</v>
      </c>
      <c r="I71" s="741">
        <f>(I28-I6)/I6*100</f>
        <v>-9.5658899423509247</v>
      </c>
      <c r="J71" s="741">
        <f t="shared" ref="J71:J78" si="78">(J28-J6)/J6*100</f>
        <v>-8.9343668274232115</v>
      </c>
      <c r="K71" s="741">
        <f>(K28-K6)/K6*100</f>
        <v>-3.5606461118215553</v>
      </c>
      <c r="L71" s="741">
        <f t="shared" ref="L71:L78" si="79">(L28-L6)/L6*100</f>
        <v>-2.8871869366247829</v>
      </c>
      <c r="M71" s="313"/>
      <c r="N71" s="313"/>
      <c r="O71" s="313"/>
      <c r="P71" s="322" t="s">
        <v>61</v>
      </c>
      <c r="Q71" s="328" t="s">
        <v>63</v>
      </c>
      <c r="R71" s="739">
        <f t="shared" si="72"/>
        <v>1.3379212296599383</v>
      </c>
      <c r="S71" s="739">
        <f t="shared" si="72"/>
        <v>1.0647731940004679</v>
      </c>
      <c r="T71" s="741">
        <f t="shared" si="73"/>
        <v>-0.77899741080155049</v>
      </c>
      <c r="U71" s="741">
        <f t="shared" si="73"/>
        <v>-1.0464394662980574</v>
      </c>
      <c r="V71" s="741">
        <f t="shared" si="74"/>
        <v>5.21922311361286</v>
      </c>
      <c r="W71" s="741">
        <f t="shared" si="74"/>
        <v>4.9356133478079807</v>
      </c>
      <c r="X71" s="741">
        <f t="shared" si="75"/>
        <v>22.671208358332279</v>
      </c>
      <c r="Y71" s="741">
        <f t="shared" si="75"/>
        <v>22.340558201032191</v>
      </c>
      <c r="Z71" s="741">
        <f t="shared" si="76"/>
        <v>10.631372404487768</v>
      </c>
      <c r="AA71" s="741">
        <f t="shared" si="76"/>
        <v>10.333174635203441</v>
      </c>
      <c r="AB71" s="313"/>
      <c r="AE71" s="282"/>
    </row>
    <row r="72" spans="1:31" ht="16" thickBot="1">
      <c r="A72" s="322" t="s">
        <v>60</v>
      </c>
      <c r="B72" s="328" t="s">
        <v>62</v>
      </c>
      <c r="C72" s="739">
        <f t="shared" si="77"/>
        <v>9.4813113138254312</v>
      </c>
      <c r="D72" s="739">
        <f t="shared" si="77"/>
        <v>7.2710560383107952</v>
      </c>
      <c r="E72" s="741">
        <f t="shared" si="70"/>
        <v>-37.501417460813059</v>
      </c>
      <c r="F72" s="741">
        <f t="shared" si="70"/>
        <v>-38.763165425937949</v>
      </c>
      <c r="G72" s="741">
        <f t="shared" si="71"/>
        <v>-40.754016650850957</v>
      </c>
      <c r="H72" s="741">
        <f t="shared" si="71"/>
        <v>-41.950099760187747</v>
      </c>
      <c r="I72" s="741">
        <f>(I29-I7)/I7*100</f>
        <v>-50.277467566592328</v>
      </c>
      <c r="J72" s="741">
        <f t="shared" si="78"/>
        <v>-51.281287198491533</v>
      </c>
      <c r="K72" s="741">
        <f>(K29-K7)/K7*100</f>
        <v>-40.977130031998286</v>
      </c>
      <c r="L72" s="741">
        <f t="shared" si="79"/>
        <v>-42.168708833505718</v>
      </c>
      <c r="M72" s="313" t="s">
        <v>163</v>
      </c>
      <c r="N72" s="313"/>
      <c r="O72" s="313"/>
      <c r="P72" s="322" t="s">
        <v>61</v>
      </c>
      <c r="Q72" s="328" t="s">
        <v>65</v>
      </c>
      <c r="R72" s="739">
        <f t="shared" si="72"/>
        <v>3.1682071154684426</v>
      </c>
      <c r="S72" s="739">
        <f t="shared" si="72"/>
        <v>0.76615339915951386</v>
      </c>
      <c r="T72" s="741">
        <f t="shared" si="73"/>
        <v>11.475581246826902</v>
      </c>
      <c r="U72" s="741">
        <f t="shared" si="73"/>
        <v>8.8801078767028887</v>
      </c>
      <c r="V72" s="741">
        <f t="shared" si="74"/>
        <v>11.707657338904671</v>
      </c>
      <c r="W72" s="741">
        <f t="shared" si="74"/>
        <v>9.1067805673352922</v>
      </c>
      <c r="X72" s="741">
        <f t="shared" si="75"/>
        <v>2.8219025416334551</v>
      </c>
      <c r="Y72" s="741">
        <f t="shared" si="75"/>
        <v>0.4279117956117342</v>
      </c>
      <c r="Z72" s="741">
        <f t="shared" si="76"/>
        <v>-2.0630707162671311</v>
      </c>
      <c r="AA72" s="741">
        <f t="shared" si="76"/>
        <v>-4.3433251815461329</v>
      </c>
      <c r="AB72" s="313"/>
      <c r="AE72" s="282"/>
    </row>
    <row r="73" spans="1:31" ht="16" thickBot="1">
      <c r="A73" s="322" t="s">
        <v>60</v>
      </c>
      <c r="B73" s="328" t="s">
        <v>64</v>
      </c>
      <c r="C73" s="739">
        <f t="shared" si="77"/>
        <v>4.6022245359666734</v>
      </c>
      <c r="D73" s="739">
        <f t="shared" si="77"/>
        <v>2.9729063967771441</v>
      </c>
      <c r="E73" s="741">
        <f t="shared" si="70"/>
        <v>1.1755706103786063</v>
      </c>
      <c r="F73" s="741">
        <f t="shared" si="70"/>
        <v>-0.40037285707277731</v>
      </c>
      <c r="G73" s="741">
        <f t="shared" si="71"/>
        <v>0.31407005830420737</v>
      </c>
      <c r="H73" s="741">
        <f t="shared" si="71"/>
        <v>-1.2484543974326261</v>
      </c>
      <c r="I73" s="741"/>
      <c r="J73" s="741"/>
      <c r="K73" s="741"/>
      <c r="L73" s="741"/>
      <c r="M73" s="313" t="s">
        <v>164</v>
      </c>
      <c r="N73" s="313"/>
      <c r="O73" s="313"/>
      <c r="P73" s="332" t="s">
        <v>61</v>
      </c>
      <c r="Q73" s="328" t="s">
        <v>66</v>
      </c>
      <c r="R73" s="739">
        <f t="shared" si="72"/>
        <v>-4.5862244993693055</v>
      </c>
      <c r="S73" s="739">
        <f t="shared" si="72"/>
        <v>-5.2488201625681503</v>
      </c>
      <c r="T73" s="741">
        <f t="shared" si="73"/>
        <v>-0.79417272434132491</v>
      </c>
      <c r="U73" s="741">
        <f t="shared" si="73"/>
        <v>-1.4831020804223114</v>
      </c>
      <c r="V73" s="741">
        <f t="shared" si="74"/>
        <v>1.0393330604600288</v>
      </c>
      <c r="W73" s="741">
        <f t="shared" si="74"/>
        <v>0.33767102531794457</v>
      </c>
      <c r="X73" s="741">
        <f t="shared" si="75"/>
        <v>4.8764515096845091</v>
      </c>
      <c r="Y73" s="741">
        <f t="shared" si="75"/>
        <v>4.1481428186450096</v>
      </c>
      <c r="Z73" s="741">
        <f t="shared" si="76"/>
        <v>-1.3492012815879744</v>
      </c>
      <c r="AA73" s="741">
        <f t="shared" si="76"/>
        <v>-2.0342762726880737</v>
      </c>
      <c r="AB73" s="313"/>
      <c r="AE73" s="282"/>
    </row>
    <row r="74" spans="1:31" ht="16" thickBot="1">
      <c r="A74" s="332" t="s">
        <v>60</v>
      </c>
      <c r="B74" s="328" t="s">
        <v>67</v>
      </c>
      <c r="C74" s="739">
        <f t="shared" si="77"/>
        <v>-2.2774069944975954</v>
      </c>
      <c r="D74" s="739">
        <f t="shared" si="77"/>
        <v>-2.5411656800724778</v>
      </c>
      <c r="E74" s="741">
        <f t="shared" si="70"/>
        <v>-4.068117320205503</v>
      </c>
      <c r="F74" s="741">
        <f t="shared" si="70"/>
        <v>-4.3270427795301716</v>
      </c>
      <c r="G74" s="741">
        <f t="shared" si="71"/>
        <v>-7.1755168794508144</v>
      </c>
      <c r="H74" s="741">
        <f t="shared" si="71"/>
        <v>-7.4260552954306922</v>
      </c>
      <c r="I74" s="741">
        <f>(I31-I9)/I9*100</f>
        <v>-6.1514398518107569</v>
      </c>
      <c r="J74" s="741">
        <f t="shared" si="78"/>
        <v>-6.4047423083510679</v>
      </c>
      <c r="K74" s="741">
        <f>(K31-K9)/K9*100</f>
        <v>3.3033726190082073</v>
      </c>
      <c r="L74" s="741">
        <f t="shared" si="79"/>
        <v>3.0245511004683889</v>
      </c>
      <c r="M74" s="313"/>
      <c r="N74" s="313"/>
      <c r="O74" s="313"/>
      <c r="P74" s="322" t="s">
        <v>61</v>
      </c>
      <c r="Q74" s="328" t="s">
        <v>69</v>
      </c>
      <c r="R74" s="739">
        <f t="shared" si="72"/>
        <v>3.8517316725513053</v>
      </c>
      <c r="S74" s="739">
        <f t="shared" si="72"/>
        <v>4.5882687766119572</v>
      </c>
      <c r="T74" s="741">
        <f t="shared" si="73"/>
        <v>-0.86261118641413748</v>
      </c>
      <c r="U74" s="741">
        <f t="shared" si="73"/>
        <v>-0.15950913809082057</v>
      </c>
      <c r="V74" s="741">
        <f t="shared" si="74"/>
        <v>3.2998908167937686</v>
      </c>
      <c r="W74" s="741">
        <f t="shared" si="74"/>
        <v>4.0325141559199622</v>
      </c>
      <c r="X74" s="741">
        <f t="shared" si="75"/>
        <v>4.0207589756998159</v>
      </c>
      <c r="Y74" s="741">
        <f t="shared" si="75"/>
        <v>4.7584948549600927</v>
      </c>
      <c r="Z74" s="741">
        <f t="shared" si="76"/>
        <v>1.6449585363793668</v>
      </c>
      <c r="AA74" s="741">
        <f t="shared" si="76"/>
        <v>2.3658447671338494</v>
      </c>
      <c r="AB74" s="313"/>
      <c r="AE74" s="282"/>
    </row>
    <row r="75" spans="1:31" ht="16" thickBot="1">
      <c r="A75" s="322" t="s">
        <v>60</v>
      </c>
      <c r="B75" s="328" t="s">
        <v>68</v>
      </c>
      <c r="C75" s="739">
        <f t="shared" si="77"/>
        <v>1.500077836064841</v>
      </c>
      <c r="D75" s="739">
        <f t="shared" si="77"/>
        <v>0.83754469092081096</v>
      </c>
      <c r="E75" s="741">
        <f t="shared" si="70"/>
        <v>0.44590502323812931</v>
      </c>
      <c r="F75" s="741">
        <f t="shared" si="70"/>
        <v>-0.20974709832348432</v>
      </c>
      <c r="G75" s="741">
        <f t="shared" si="71"/>
        <v>-4.9159212417315512</v>
      </c>
      <c r="H75" s="741">
        <f t="shared" si="71"/>
        <v>-5.5365744973338371</v>
      </c>
      <c r="I75" s="741">
        <f>(I32-I10)/I10*100</f>
        <v>-1.6294019795698766</v>
      </c>
      <c r="J75" s="741">
        <f t="shared" si="78"/>
        <v>-2.2715077107737192</v>
      </c>
      <c r="K75" s="741">
        <f>(K32-K10)/K10*100</f>
        <v>-4.3071182194452726</v>
      </c>
      <c r="L75" s="741">
        <f t="shared" si="79"/>
        <v>-4.9317453851146862</v>
      </c>
      <c r="M75" s="313"/>
      <c r="N75" s="313"/>
      <c r="O75" s="313"/>
      <c r="P75" s="322" t="s">
        <v>61</v>
      </c>
      <c r="Q75" s="328" t="s">
        <v>70</v>
      </c>
      <c r="R75" s="739">
        <f t="shared" si="72"/>
        <v>1.6415700980206278</v>
      </c>
      <c r="S75" s="739">
        <f t="shared" si="72"/>
        <v>0.16374436153889882</v>
      </c>
      <c r="T75" s="741">
        <f t="shared" si="73"/>
        <v>11.98818849210922</v>
      </c>
      <c r="U75" s="741">
        <f t="shared" si="73"/>
        <v>10.359927270091481</v>
      </c>
      <c r="V75" s="741">
        <f t="shared" si="74"/>
        <v>10.049838713775245</v>
      </c>
      <c r="W75" s="741">
        <f t="shared" si="74"/>
        <v>8.4497602833649506</v>
      </c>
      <c r="X75" s="741">
        <f t="shared" si="75"/>
        <v>12.152241299323094</v>
      </c>
      <c r="Y75" s="741">
        <f t="shared" si="75"/>
        <v>10.521594818395943</v>
      </c>
      <c r="Z75" s="741">
        <f t="shared" si="76"/>
        <v>15.994379082014603</v>
      </c>
      <c r="AA75" s="741">
        <f t="shared" si="76"/>
        <v>14.307869531549136</v>
      </c>
      <c r="AB75" s="313"/>
      <c r="AE75" s="282"/>
    </row>
    <row r="76" spans="1:31" ht="16" thickBot="1">
      <c r="A76" s="322" t="s">
        <v>60</v>
      </c>
      <c r="B76" s="328" t="s">
        <v>71</v>
      </c>
      <c r="C76" s="739">
        <f t="shared" si="77"/>
        <v>14.983822293188313</v>
      </c>
      <c r="D76" s="739">
        <f t="shared" si="77"/>
        <v>13.673880013898811</v>
      </c>
      <c r="E76" s="741">
        <f t="shared" si="70"/>
        <v>-1.1511920624929797</v>
      </c>
      <c r="F76" s="741">
        <f t="shared" si="70"/>
        <v>-2.2773177225405221</v>
      </c>
      <c r="G76" s="741">
        <f t="shared" si="71"/>
        <v>1.7555550454686295</v>
      </c>
      <c r="H76" s="741">
        <f t="shared" si="71"/>
        <v>0.59631454495062308</v>
      </c>
      <c r="I76" s="741">
        <f>(I33-I11)/I11*100</f>
        <v>-2.5651608952431633</v>
      </c>
      <c r="J76" s="741">
        <f t="shared" si="78"/>
        <v>-3.6751780496011488</v>
      </c>
      <c r="K76" s="741">
        <f>(K33-K11)/K11*100</f>
        <v>-3.6824981967009713</v>
      </c>
      <c r="L76" s="741">
        <f t="shared" si="79"/>
        <v>-4.7797861919284514</v>
      </c>
      <c r="M76" s="313"/>
      <c r="N76" s="313"/>
      <c r="O76" s="313"/>
      <c r="P76" s="333" t="s">
        <v>61</v>
      </c>
      <c r="Q76" s="328" t="s">
        <v>74</v>
      </c>
      <c r="R76" s="739">
        <f t="shared" si="72"/>
        <v>-0.9480666227642901</v>
      </c>
      <c r="S76" s="739">
        <f t="shared" si="72"/>
        <v>-0.79684229699752662</v>
      </c>
      <c r="T76" s="741">
        <f t="shared" si="73"/>
        <v>2.7915051299411311E-2</v>
      </c>
      <c r="U76" s="741">
        <f t="shared" si="73"/>
        <v>0.1806294254235199</v>
      </c>
      <c r="V76" s="741">
        <f t="shared" si="74"/>
        <v>-10.367066889199053</v>
      </c>
      <c r="W76" s="741">
        <f t="shared" si="74"/>
        <v>-10.230222716510811</v>
      </c>
      <c r="X76" s="741">
        <f t="shared" si="75"/>
        <v>-1.2912840515496757</v>
      </c>
      <c r="Y76" s="741">
        <f t="shared" si="75"/>
        <v>-1.140583721857394</v>
      </c>
      <c r="Z76" s="741">
        <f t="shared" si="76"/>
        <v>7.6854151020560604</v>
      </c>
      <c r="AA76" s="741">
        <f t="shared" si="76"/>
        <v>7.8498203159523268</v>
      </c>
      <c r="AB76" s="313"/>
      <c r="AE76" s="282"/>
    </row>
    <row r="77" spans="1:31" ht="16" thickBot="1">
      <c r="A77" s="322" t="s">
        <v>60</v>
      </c>
      <c r="B77" s="328" t="s">
        <v>72</v>
      </c>
      <c r="C77" s="739">
        <f t="shared" si="77"/>
        <v>28.669496065825435</v>
      </c>
      <c r="D77" s="739">
        <f t="shared" si="77"/>
        <v>26.703712098153119</v>
      </c>
      <c r="E77" s="741">
        <f t="shared" si="70"/>
        <v>2.0121833782484746</v>
      </c>
      <c r="F77" s="741">
        <f t="shared" si="70"/>
        <v>0.45366390996970068</v>
      </c>
      <c r="G77" s="741">
        <f t="shared" si="71"/>
        <v>2.5397404656853908</v>
      </c>
      <c r="H77" s="741">
        <f t="shared" si="71"/>
        <v>0.97316109745965651</v>
      </c>
      <c r="I77" s="741">
        <f>(I34-I12)/I12*100</f>
        <v>-1.7429404605377581</v>
      </c>
      <c r="J77" s="741">
        <f t="shared" si="78"/>
        <v>-3.2440899812795214</v>
      </c>
      <c r="K77" s="741">
        <f>(K34-K12)/K12*100</f>
        <v>-8.0159714118962064</v>
      </c>
      <c r="L77" s="741">
        <f t="shared" si="79"/>
        <v>-9.4212829597699983</v>
      </c>
      <c r="M77" s="313"/>
      <c r="N77" s="313"/>
      <c r="O77" s="313"/>
      <c r="P77" s="313"/>
      <c r="Q77" s="334" t="s">
        <v>76</v>
      </c>
      <c r="R77" s="336">
        <f>AVERAGE(R70:R76)</f>
        <v>1.065516097354108</v>
      </c>
      <c r="S77" s="336">
        <f t="shared" ref="S77:AA77" si="80">AVERAGE(S70:S76)</f>
        <v>0.34703092595880342</v>
      </c>
      <c r="T77" s="336">
        <f t="shared" si="80"/>
        <v>2.8087157599211752</v>
      </c>
      <c r="U77" s="336">
        <f t="shared" si="80"/>
        <v>2.0403029521294487</v>
      </c>
      <c r="V77" s="336">
        <f t="shared" si="80"/>
        <v>2.8567477588111836</v>
      </c>
      <c r="W77" s="336">
        <f t="shared" si="80"/>
        <v>2.0887334416586669</v>
      </c>
      <c r="X77" s="336">
        <f t="shared" si="80"/>
        <v>6.0773948387827668</v>
      </c>
      <c r="Y77" s="336">
        <f t="shared" si="80"/>
        <v>5.3294377222957348</v>
      </c>
      <c r="Z77" s="336">
        <f t="shared" si="80"/>
        <v>4.0085094864725459</v>
      </c>
      <c r="AA77" s="336">
        <f t="shared" si="80"/>
        <v>3.2818946632923596</v>
      </c>
      <c r="AB77" s="313"/>
      <c r="AE77" s="282"/>
    </row>
    <row r="78" spans="1:31" ht="16" thickBot="1">
      <c r="A78" s="333" t="s">
        <v>60</v>
      </c>
      <c r="B78" s="328" t="s">
        <v>73</v>
      </c>
      <c r="C78" s="739">
        <f t="shared" si="77"/>
        <v>1.8470187966940117</v>
      </c>
      <c r="D78" s="739">
        <f t="shared" si="77"/>
        <v>2.5662774040153069</v>
      </c>
      <c r="E78" s="741">
        <f t="shared" si="70"/>
        <v>-12.093335290802086</v>
      </c>
      <c r="F78" s="741">
        <f t="shared" si="70"/>
        <v>-11.472525511782315</v>
      </c>
      <c r="G78" s="741">
        <f t="shared" si="71"/>
        <v>-5.712362510881233</v>
      </c>
      <c r="H78" s="741">
        <f t="shared" si="71"/>
        <v>-5.0464893647716362</v>
      </c>
      <c r="I78" s="741">
        <f>(I35-I13)/I13*100</f>
        <v>3.5825215450332446</v>
      </c>
      <c r="J78" s="741">
        <f t="shared" si="78"/>
        <v>4.3140365276958947</v>
      </c>
      <c r="K78" s="741">
        <f>(K35-K13)/K13*100</f>
        <v>6.1585743618736011</v>
      </c>
      <c r="L78" s="741">
        <f t="shared" si="79"/>
        <v>6.9082818079320347</v>
      </c>
      <c r="M78" s="313"/>
      <c r="N78" s="313"/>
      <c r="O78" s="313"/>
      <c r="P78" s="313"/>
      <c r="Q78" s="334" t="s">
        <v>13</v>
      </c>
      <c r="R78" s="336">
        <f>STDEVA(R70:R76)</f>
        <v>2.9525146663852913</v>
      </c>
      <c r="S78" s="336">
        <f t="shared" ref="S78:AA78" si="81">STDEVA(S70:S76)</f>
        <v>2.9922468437208849</v>
      </c>
      <c r="T78" s="336">
        <f t="shared" si="81"/>
        <v>6.1116226735563286</v>
      </c>
      <c r="U78" s="336">
        <f t="shared" si="81"/>
        <v>5.2662015173384606</v>
      </c>
      <c r="V78" s="336">
        <f t="shared" si="81"/>
        <v>7.3996950932750947</v>
      </c>
      <c r="W78" s="336">
        <f t="shared" si="81"/>
        <v>6.7482001107294156</v>
      </c>
      <c r="X78" s="336">
        <f t="shared" si="81"/>
        <v>8.7562916580541437</v>
      </c>
      <c r="Y78" s="336">
        <f t="shared" si="81"/>
        <v>8.8164757263387585</v>
      </c>
      <c r="Z78" s="336">
        <f t="shared" si="81"/>
        <v>7.5754662063254168</v>
      </c>
      <c r="AA78" s="336">
        <f t="shared" si="81"/>
        <v>7.7096020800033234</v>
      </c>
      <c r="AB78" s="313"/>
      <c r="AE78" s="282"/>
    </row>
    <row r="79" spans="1:31">
      <c r="A79" s="313"/>
      <c r="B79" s="334" t="s">
        <v>76</v>
      </c>
      <c r="C79" s="336">
        <f>AVERAGE(C70:C78)</f>
        <v>6.6332167976177718</v>
      </c>
      <c r="D79" s="336">
        <f>AVERAGE(D70:D78)</f>
        <v>5.7974655885688957</v>
      </c>
      <c r="E79" s="336">
        <f t="shared" ref="E79:L79" si="82">AVERAGE(E70:E78)</f>
        <v>-7.238469066620393</v>
      </c>
      <c r="F79" s="336">
        <f t="shared" si="82"/>
        <v>-7.90734030749746</v>
      </c>
      <c r="G79" s="336">
        <f t="shared" si="82"/>
        <v>-7.2890044799874794</v>
      </c>
      <c r="H79" s="336">
        <f t="shared" si="82"/>
        <v>-7.9402874312863094</v>
      </c>
      <c r="I79" s="336">
        <f t="shared" si="82"/>
        <v>-8.9913316141562429</v>
      </c>
      <c r="J79" s="336">
        <f t="shared" si="82"/>
        <v>-9.4895545618849244</v>
      </c>
      <c r="K79" s="336">
        <f t="shared" si="82"/>
        <v>-6.4706281868964108</v>
      </c>
      <c r="L79" s="336">
        <f t="shared" si="82"/>
        <v>-6.9753883372937207</v>
      </c>
      <c r="M79" s="313"/>
      <c r="N79" s="313"/>
      <c r="O79" s="313"/>
      <c r="P79" s="313"/>
      <c r="Q79" s="334" t="s">
        <v>14</v>
      </c>
      <c r="R79" s="336">
        <f>R78/SQRT(COUNT(R70:R76))</f>
        <v>1.1159456499323308</v>
      </c>
      <c r="S79" s="336">
        <f t="shared" ref="S79:AA79" si="83">S78/SQRT(COUNT(S70:S76))</f>
        <v>1.1309630014004877</v>
      </c>
      <c r="T79" s="336">
        <f t="shared" si="83"/>
        <v>2.3099762430419619</v>
      </c>
      <c r="U79" s="336">
        <f t="shared" si="83"/>
        <v>1.990437081261224</v>
      </c>
      <c r="V79" s="336">
        <f t="shared" si="83"/>
        <v>2.7968218563586857</v>
      </c>
      <c r="W79" s="336">
        <f t="shared" si="83"/>
        <v>2.5505798986126522</v>
      </c>
      <c r="X79" s="336">
        <f t="shared" si="83"/>
        <v>3.3095671620515268</v>
      </c>
      <c r="Y79" s="336">
        <f t="shared" si="83"/>
        <v>3.3323146017042724</v>
      </c>
      <c r="Z79" s="336">
        <f t="shared" si="83"/>
        <v>2.8632570924729959</v>
      </c>
      <c r="AA79" s="336">
        <f t="shared" si="83"/>
        <v>2.913955687279298</v>
      </c>
      <c r="AB79" s="313"/>
      <c r="AE79" s="282"/>
    </row>
    <row r="80" spans="1:31">
      <c r="A80" s="313"/>
      <c r="B80" s="334" t="s">
        <v>13</v>
      </c>
      <c r="C80" s="336">
        <f>STDEVA(C70:C78)</f>
        <v>9.8672388828833277</v>
      </c>
      <c r="D80" s="336">
        <f>STDEVA(D70:D78)</f>
        <v>9.1862846358731964</v>
      </c>
      <c r="E80" s="336">
        <f t="shared" ref="E80:L80" si="84">STDEVA(E70:E78)</f>
        <v>12.339721099382809</v>
      </c>
      <c r="F80" s="336">
        <f t="shared" si="84"/>
        <v>12.273067722951682</v>
      </c>
      <c r="G80" s="336">
        <f t="shared" si="84"/>
        <v>13.083551292370661</v>
      </c>
      <c r="H80" s="336">
        <f t="shared" si="84"/>
        <v>13.116891275189399</v>
      </c>
      <c r="I80" s="336">
        <f t="shared" si="84"/>
        <v>17.106171877772784</v>
      </c>
      <c r="J80" s="336">
        <f t="shared" si="84"/>
        <v>17.31033059813775</v>
      </c>
      <c r="K80" s="336">
        <f t="shared" si="84"/>
        <v>14.650824651327024</v>
      </c>
      <c r="L80" s="336">
        <f t="shared" si="84"/>
        <v>15.083021391329417</v>
      </c>
      <c r="M80" s="313"/>
      <c r="N80" s="313"/>
      <c r="O80" s="313"/>
      <c r="P80" s="313"/>
      <c r="Q80" s="334" t="s">
        <v>99</v>
      </c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13"/>
      <c r="AE80" s="282"/>
    </row>
    <row r="81" spans="1:31">
      <c r="A81" s="313"/>
      <c r="B81" s="334" t="s">
        <v>14</v>
      </c>
      <c r="C81" s="336">
        <f>C80/SQRT(COUNT(C70:C78))</f>
        <v>3.2890796276277761</v>
      </c>
      <c r="D81" s="336">
        <f t="shared" ref="D81:L81" si="85">D80/SQRT(COUNT(D70:D78))</f>
        <v>3.0620948786243987</v>
      </c>
      <c r="E81" s="336">
        <f t="shared" si="85"/>
        <v>4.1132403664609365</v>
      </c>
      <c r="F81" s="336">
        <f t="shared" si="85"/>
        <v>4.0910225743172273</v>
      </c>
      <c r="G81" s="336">
        <f t="shared" si="85"/>
        <v>4.3611837641235534</v>
      </c>
      <c r="H81" s="336">
        <f t="shared" si="85"/>
        <v>4.3722970917297994</v>
      </c>
      <c r="I81" s="336">
        <f t="shared" si="85"/>
        <v>6.0479450674578761</v>
      </c>
      <c r="J81" s="336">
        <f t="shared" si="85"/>
        <v>6.1201260752620934</v>
      </c>
      <c r="K81" s="336">
        <f t="shared" si="85"/>
        <v>5.1798487304641867</v>
      </c>
      <c r="L81" s="336">
        <f t="shared" si="85"/>
        <v>5.3326533532953926</v>
      </c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E81" s="282"/>
    </row>
    <row r="82" spans="1:31">
      <c r="A82" s="313"/>
      <c r="B82" s="334" t="s">
        <v>99</v>
      </c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E82" s="282"/>
    </row>
    <row r="83" spans="1:31">
      <c r="A83" s="313"/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E83" s="282"/>
    </row>
    <row r="84" spans="1:31">
      <c r="A84" s="313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E84" s="282"/>
    </row>
    <row r="85" spans="1:31">
      <c r="M85" s="18"/>
      <c r="N85" s="18"/>
      <c r="O85" s="18"/>
      <c r="P85" s="18"/>
    </row>
    <row r="86" spans="1:31">
      <c r="M86" s="18"/>
      <c r="N86" s="18"/>
      <c r="O86" s="18"/>
      <c r="P86" s="18"/>
    </row>
  </sheetData>
  <mergeCells count="54">
    <mergeCell ref="X67:Y67"/>
    <mergeCell ref="Z67:AA67"/>
    <mergeCell ref="K67:L67"/>
    <mergeCell ref="P67:Q69"/>
    <mergeCell ref="R67:S67"/>
    <mergeCell ref="T67:U67"/>
    <mergeCell ref="V67:W67"/>
    <mergeCell ref="A67:B69"/>
    <mergeCell ref="C67:D67"/>
    <mergeCell ref="E67:F67"/>
    <mergeCell ref="G67:H67"/>
    <mergeCell ref="I67:J67"/>
    <mergeCell ref="X24:Y24"/>
    <mergeCell ref="Z24:AA24"/>
    <mergeCell ref="A46:B48"/>
    <mergeCell ref="C46:D46"/>
    <mergeCell ref="E46:F46"/>
    <mergeCell ref="G46:H46"/>
    <mergeCell ref="I46:J46"/>
    <mergeCell ref="K46:L46"/>
    <mergeCell ref="P46:Q48"/>
    <mergeCell ref="R46:S46"/>
    <mergeCell ref="T46:U46"/>
    <mergeCell ref="V46:W46"/>
    <mergeCell ref="X46:Y46"/>
    <mergeCell ref="Z46:AA46"/>
    <mergeCell ref="K24:L24"/>
    <mergeCell ref="P24:Q26"/>
    <mergeCell ref="R24:S24"/>
    <mergeCell ref="T24:U24"/>
    <mergeCell ref="V24:W24"/>
    <mergeCell ref="A24:B26"/>
    <mergeCell ref="C24:D24"/>
    <mergeCell ref="E24:F24"/>
    <mergeCell ref="G24:H24"/>
    <mergeCell ref="I24:J24"/>
    <mergeCell ref="Z2:AA2"/>
    <mergeCell ref="A2:B4"/>
    <mergeCell ref="C2:D2"/>
    <mergeCell ref="E2:F2"/>
    <mergeCell ref="G2:H2"/>
    <mergeCell ref="I2:J2"/>
    <mergeCell ref="K2:L2"/>
    <mergeCell ref="P2:Q4"/>
    <mergeCell ref="R2:S2"/>
    <mergeCell ref="T2:U2"/>
    <mergeCell ref="V2:W2"/>
    <mergeCell ref="X2:Y2"/>
    <mergeCell ref="AR2:AS2"/>
    <mergeCell ref="AG2:AH4"/>
    <mergeCell ref="AJ2:AK2"/>
    <mergeCell ref="AL2:AM2"/>
    <mergeCell ref="AN2:AO2"/>
    <mergeCell ref="AP2:AQ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zoomScale="75" zoomScaleNormal="80" workbookViewId="0">
      <selection activeCell="D86" sqref="D86"/>
    </sheetView>
  </sheetViews>
  <sheetFormatPr baseColWidth="10" defaultRowHeight="15.5"/>
  <cols>
    <col min="1" max="1" width="13.6640625" bestFit="1" customWidth="1"/>
  </cols>
  <sheetData>
    <row r="1" spans="1:28" ht="25.5" thickBot="1">
      <c r="A1" s="217" t="s">
        <v>158</v>
      </c>
    </row>
    <row r="2" spans="1:28" ht="16" thickBot="1">
      <c r="A2" s="1467" t="s">
        <v>156</v>
      </c>
      <c r="B2" s="1468"/>
      <c r="C2" s="1473" t="s">
        <v>159</v>
      </c>
      <c r="D2" s="1474"/>
      <c r="E2" s="1331" t="s">
        <v>151</v>
      </c>
      <c r="F2" s="1332"/>
      <c r="G2" s="1466" t="s">
        <v>153</v>
      </c>
      <c r="H2" s="1466"/>
      <c r="I2" s="1466" t="s">
        <v>154</v>
      </c>
      <c r="J2" s="1466"/>
      <c r="K2" s="1466" t="s">
        <v>155</v>
      </c>
      <c r="L2" s="1466"/>
      <c r="P2" s="1467" t="s">
        <v>156</v>
      </c>
      <c r="Q2" s="1468"/>
      <c r="R2" s="1473" t="s">
        <v>159</v>
      </c>
      <c r="S2" s="1474"/>
      <c r="T2" s="1331" t="s">
        <v>151</v>
      </c>
      <c r="U2" s="1332"/>
      <c r="V2" s="1466" t="s">
        <v>153</v>
      </c>
      <c r="W2" s="1466"/>
      <c r="X2" s="1466" t="s">
        <v>154</v>
      </c>
      <c r="Y2" s="1466"/>
      <c r="Z2" s="1466" t="s">
        <v>155</v>
      </c>
      <c r="AA2" s="1466"/>
    </row>
    <row r="3" spans="1:28" ht="16" thickBot="1">
      <c r="A3" s="1469"/>
      <c r="B3" s="1470"/>
      <c r="C3" s="197" t="s">
        <v>152</v>
      </c>
      <c r="D3" s="197" t="s">
        <v>40</v>
      </c>
      <c r="E3" s="197" t="s">
        <v>152</v>
      </c>
      <c r="F3" s="197" t="s">
        <v>40</v>
      </c>
      <c r="G3" s="197" t="s">
        <v>152</v>
      </c>
      <c r="H3" s="197" t="s">
        <v>40</v>
      </c>
      <c r="I3" s="197" t="s">
        <v>152</v>
      </c>
      <c r="J3" s="197" t="s">
        <v>40</v>
      </c>
      <c r="K3" s="197" t="s">
        <v>152</v>
      </c>
      <c r="L3" s="197" t="s">
        <v>40</v>
      </c>
      <c r="P3" s="1469"/>
      <c r="Q3" s="1470"/>
      <c r="R3" s="212" t="s">
        <v>152</v>
      </c>
      <c r="S3" s="212" t="s">
        <v>40</v>
      </c>
      <c r="T3" s="13" t="s">
        <v>152</v>
      </c>
      <c r="U3" s="13" t="s">
        <v>40</v>
      </c>
      <c r="V3" s="13" t="s">
        <v>152</v>
      </c>
      <c r="W3" s="13" t="s">
        <v>40</v>
      </c>
      <c r="X3" s="13" t="s">
        <v>152</v>
      </c>
      <c r="Y3" s="13" t="s">
        <v>40</v>
      </c>
      <c r="Z3" s="13" t="s">
        <v>152</v>
      </c>
      <c r="AA3" s="13" t="s">
        <v>40</v>
      </c>
    </row>
    <row r="4" spans="1:28" ht="16" thickBot="1">
      <c r="A4" s="1471"/>
      <c r="B4" s="1472"/>
      <c r="C4" s="196" t="s">
        <v>3</v>
      </c>
      <c r="D4" s="239"/>
      <c r="E4" s="197" t="s">
        <v>3</v>
      </c>
      <c r="F4" s="240"/>
      <c r="G4" s="197" t="s">
        <v>3</v>
      </c>
      <c r="H4" s="240"/>
      <c r="I4" s="197" t="s">
        <v>3</v>
      </c>
      <c r="J4" s="240"/>
      <c r="K4" s="197" t="s">
        <v>3</v>
      </c>
      <c r="L4" s="240"/>
      <c r="P4" s="1471"/>
      <c r="Q4" s="1475"/>
      <c r="R4" s="149" t="s">
        <v>3</v>
      </c>
      <c r="S4" s="220"/>
      <c r="T4" s="13" t="s">
        <v>3</v>
      </c>
      <c r="U4" s="218"/>
      <c r="V4" s="13" t="s">
        <v>3</v>
      </c>
      <c r="W4" s="218"/>
      <c r="X4" s="13" t="s">
        <v>3</v>
      </c>
      <c r="Y4" s="218"/>
      <c r="Z4" s="13" t="s">
        <v>3</v>
      </c>
      <c r="AA4" s="218"/>
    </row>
    <row r="5" spans="1:28" ht="16" thickBot="1">
      <c r="A5" s="32" t="s">
        <v>60</v>
      </c>
      <c r="B5" s="133" t="s">
        <v>57</v>
      </c>
      <c r="C5" s="237">
        <f>'[1]Lode 60+20min'!$T$3</f>
        <v>1085.0954614274951</v>
      </c>
      <c r="D5" s="225"/>
      <c r="E5" s="266">
        <f>'[1]Lode 60+20min'!$T$4</f>
        <v>846.84223274545388</v>
      </c>
      <c r="F5" s="10">
        <f>'[1]60min + sprinter + 20min'!$G$5</f>
        <v>17</v>
      </c>
      <c r="G5" s="259">
        <f>'[1]Lode 60+20min'!$T$5</f>
        <v>825.10757786464615</v>
      </c>
      <c r="H5" s="260">
        <f>'[1]60min + sprinter + 20min'!$H$5</f>
        <v>16</v>
      </c>
      <c r="I5" s="259">
        <f>'[1]Lode 60+20min'!$T$6</f>
        <v>789.47236048658385</v>
      </c>
      <c r="J5" s="10">
        <f>'[1]60min + sprinter + 20min'!$I$5</f>
        <v>19</v>
      </c>
      <c r="K5" s="259">
        <f>'[1]Lode 60+20min'!$T$7</f>
        <v>745.47314581973546</v>
      </c>
      <c r="L5" s="261">
        <f>'[1]60min + sprinter + 20min'!$J$5</f>
        <v>18</v>
      </c>
      <c r="P5" s="89" t="s">
        <v>61</v>
      </c>
      <c r="Q5" s="133" t="s">
        <v>58</v>
      </c>
      <c r="R5" s="234">
        <f>'[2]Lode 60+20min'!$T$3</f>
        <v>1162.2600646676799</v>
      </c>
      <c r="S5" s="856"/>
      <c r="T5" s="221">
        <f>'[2]Lode 60+20min'!$T$4</f>
        <v>775.15384108724504</v>
      </c>
      <c r="U5" s="191">
        <f>'[2]60min + sprinter + 20min'!$G$5</f>
        <v>20</v>
      </c>
      <c r="V5" s="221">
        <f>'[2]Lode 60+20min'!$T$5</f>
        <v>730.34496682038912</v>
      </c>
      <c r="W5" s="245">
        <f>'[2]60min + sprinter + 20min'!$H$5</f>
        <v>20</v>
      </c>
      <c r="X5" s="221">
        <f>'[2]Lode 60+20min'!$T$6</f>
        <v>696.15084332666072</v>
      </c>
      <c r="Y5" s="191">
        <f>'[2]60min + sprinter + 20min'!$I$5</f>
        <v>20</v>
      </c>
      <c r="Z5" s="221">
        <f>'[2]Lode 60+20min'!$T$7</f>
        <v>667.03410932937618</v>
      </c>
      <c r="AA5" s="254">
        <f>'[2]60min + sprinter + 20min'!$J$5</f>
        <v>20</v>
      </c>
    </row>
    <row r="6" spans="1:28" ht="16" thickBot="1">
      <c r="A6" s="32" t="s">
        <v>60</v>
      </c>
      <c r="B6" s="134" t="s">
        <v>59</v>
      </c>
      <c r="C6" s="238">
        <f>'[3]Lode 60+20min'!$T$3</f>
        <v>1162.8413817498165</v>
      </c>
      <c r="D6" s="226"/>
      <c r="E6" s="248">
        <f>'[3]Lode 60+20min'!$T$4</f>
        <v>800.70983922076368</v>
      </c>
      <c r="F6" s="9">
        <f>'[3]60min + sprinter + 20min'!$G$5</f>
        <v>20</v>
      </c>
      <c r="G6" s="222">
        <f>'[3]Lode 60+20min'!$T$5</f>
        <v>744.98856496221799</v>
      </c>
      <c r="H6" s="246">
        <f>'[3]60min + sprinter + 20min'!$H$5</f>
        <v>20</v>
      </c>
      <c r="I6" s="222">
        <f>'[3]Lode 60+20min'!$T$6</f>
        <v>734.54648181637094</v>
      </c>
      <c r="J6" s="9">
        <f>'[3]60min + sprinter + 20min'!$I$5</f>
        <v>20</v>
      </c>
      <c r="K6" s="222">
        <f>'[3]Lode 60+20min'!$T$7</f>
        <v>691.76422387862544</v>
      </c>
      <c r="L6" s="255">
        <f>'[3]60min + sprinter + 20min'!$J$5</f>
        <v>20</v>
      </c>
      <c r="P6" s="32" t="s">
        <v>61</v>
      </c>
      <c r="Q6" s="133" t="s">
        <v>63</v>
      </c>
      <c r="R6" s="234">
        <f>'[4]Lode 60+20min'!$T$3</f>
        <v>1252.2240661222093</v>
      </c>
      <c r="S6" s="856"/>
      <c r="T6" s="222">
        <f>'[4]Lode 60+20min'!$T$4</f>
        <v>790.01494994497261</v>
      </c>
      <c r="U6" s="9">
        <f>'[4]60min + sprinter + 20min'!$G$5</f>
        <v>20</v>
      </c>
      <c r="V6" s="222">
        <f>'[4]Lode 60+20min'!$T$5</f>
        <v>721.16158379465344</v>
      </c>
      <c r="W6" s="246">
        <f>'[4]60min + sprinter + 20min'!$H$5</f>
        <v>20</v>
      </c>
      <c r="X6" s="222">
        <f>'[4]Lode 60+20min'!$T$6</f>
        <v>565.03677210710794</v>
      </c>
      <c r="Y6" s="9">
        <f>'[4]60min + sprinter + 20min'!$I$5</f>
        <v>20</v>
      </c>
      <c r="Z6" s="222">
        <f>'[4]Lode 60+20min'!$T$7</f>
        <v>646.60523786694773</v>
      </c>
      <c r="AA6" s="255">
        <f>'[4]60min + sprinter + 20min'!$J$5</f>
        <v>20</v>
      </c>
      <c r="AB6" t="s">
        <v>161</v>
      </c>
    </row>
    <row r="7" spans="1:28" ht="16" thickBot="1">
      <c r="A7" s="32" t="s">
        <v>60</v>
      </c>
      <c r="B7" s="133" t="s">
        <v>62</v>
      </c>
      <c r="C7" s="237">
        <f>'[5]Lode 60+20min'!$T$3</f>
        <v>961.60301345675555</v>
      </c>
      <c r="D7" s="225"/>
      <c r="E7" s="248">
        <f>'[5]Lode 60+20min'!$T$4</f>
        <v>660.52542952134797</v>
      </c>
      <c r="F7" s="9">
        <f>'[5]60min + sprinter + 20min 29.09'!$G$5</f>
        <v>20</v>
      </c>
      <c r="G7" s="222">
        <f>'[5]Lode 60+20min'!$T$5</f>
        <v>642.00655747913152</v>
      </c>
      <c r="H7" s="246">
        <f>'[5]60min + sprinter + 20min 29.09'!$H$5</f>
        <v>20</v>
      </c>
      <c r="I7" s="222">
        <f>'[5]Lode 60+20min'!$T$6</f>
        <v>672.31305466563902</v>
      </c>
      <c r="J7" s="9">
        <f>'[5]60min + sprinter + 20min 29.09'!$I$5</f>
        <v>20</v>
      </c>
      <c r="K7" s="222">
        <f>'[5]Lode 60+20min'!$T$7</f>
        <v>630.20522411497848</v>
      </c>
      <c r="L7" s="255">
        <f>'[5]60min + sprinter + 20min 29.09'!$J$5</f>
        <v>20</v>
      </c>
      <c r="M7" t="s">
        <v>160</v>
      </c>
      <c r="P7" s="32" t="s">
        <v>61</v>
      </c>
      <c r="Q7" s="133" t="s">
        <v>65</v>
      </c>
      <c r="R7" s="248">
        <f>'[6]Lode 60+20min'!$T$3</f>
        <v>1134.9562425026998</v>
      </c>
      <c r="S7" s="856"/>
      <c r="T7" s="222">
        <f>'[6]Lode 60+20min'!$T$4</f>
        <v>682.50222045212433</v>
      </c>
      <c r="U7" s="9">
        <f>'[6]60min + sprinter + 20min'!$G$5</f>
        <v>18</v>
      </c>
      <c r="V7" s="222">
        <f>'[6]Lode 60+20min'!$T$5</f>
        <v>690.09454709845113</v>
      </c>
      <c r="W7" s="246">
        <f>'[6]60min + sprinter + 20min'!$H$5</f>
        <v>18</v>
      </c>
      <c r="X7" s="222">
        <f>'[6]Lode 60+20min'!$T$6</f>
        <v>749.72888902303021</v>
      </c>
      <c r="Y7" s="9">
        <f>'[6]60min + sprinter + 20min'!$I$5</f>
        <v>19</v>
      </c>
      <c r="Z7" s="222">
        <f>'[6]Lode 60+20min'!$T$7</f>
        <v>760.66461195611078</v>
      </c>
      <c r="AA7" s="255">
        <f>'[6]60min + sprinter + 20min'!$J$5</f>
        <v>19</v>
      </c>
    </row>
    <row r="8" spans="1:28" ht="16" thickBot="1">
      <c r="A8" s="32" t="s">
        <v>60</v>
      </c>
      <c r="B8" s="133" t="s">
        <v>64</v>
      </c>
      <c r="C8" s="237">
        <f>'[7]Lode 60+20min'!$T$3</f>
        <v>1106.8995454935769</v>
      </c>
      <c r="D8" s="225"/>
      <c r="E8" s="248">
        <f>'[7]Lode 60+20min'!$T$4</f>
        <v>677.04430756070258</v>
      </c>
      <c r="F8" s="9">
        <f>'[7]60min + sprinter + 20min'!$G$5</f>
        <v>20</v>
      </c>
      <c r="G8" s="222">
        <f>'[7]Lode 60+20min'!$T$5</f>
        <v>619.63065794526358</v>
      </c>
      <c r="H8" s="246">
        <f>'[7]60min + sprinter + 20min'!$H$5</f>
        <v>20</v>
      </c>
      <c r="I8" s="241"/>
      <c r="J8" s="243"/>
      <c r="K8" s="241"/>
      <c r="L8" s="267"/>
      <c r="M8" t="s">
        <v>118</v>
      </c>
      <c r="P8" s="33" t="s">
        <v>61</v>
      </c>
      <c r="Q8" s="133" t="s">
        <v>66</v>
      </c>
      <c r="R8" s="234">
        <f>'[8]Lode 60+20min'!$T$3</f>
        <v>1479.9855432731642</v>
      </c>
      <c r="S8" s="856"/>
      <c r="T8" s="222">
        <f>'[8]Lode 60+20min'!$T$4</f>
        <v>766.4832234115288</v>
      </c>
      <c r="U8" s="9">
        <f>'[8]60min + sprinter + 20min'!$G$5</f>
        <v>18</v>
      </c>
      <c r="V8" s="222">
        <f>'[8]Lode 60+20min'!$T$5</f>
        <v>774.91989051524729</v>
      </c>
      <c r="W8" s="246">
        <f>'[8]60min + sprinter + 20min'!$H$5</f>
        <v>17</v>
      </c>
      <c r="X8" s="222">
        <f>'[8]Lode 60+20min'!$T$6</f>
        <v>732.58569364213736</v>
      </c>
      <c r="Y8" s="9">
        <f>'[8]60min + sprinter + 20min'!$I$5</f>
        <v>18</v>
      </c>
      <c r="Z8" s="222">
        <f>'[8]Lode 60+20min'!$T$7</f>
        <v>748.81100713470335</v>
      </c>
      <c r="AA8" s="255">
        <f>'[8]60min + sprinter + 20min'!$J$5</f>
        <v>18</v>
      </c>
    </row>
    <row r="9" spans="1:28" ht="16" thickBot="1">
      <c r="A9" s="33" t="s">
        <v>60</v>
      </c>
      <c r="B9" s="133" t="s">
        <v>67</v>
      </c>
      <c r="C9" s="237">
        <f>'[9]Lode 60+20min'!$T$3</f>
        <v>1053.0774127167774</v>
      </c>
      <c r="D9" s="225"/>
      <c r="E9" s="248">
        <f>'[9]Lode 60+20min'!$T$4</f>
        <v>730.09149488004266</v>
      </c>
      <c r="F9" s="9">
        <f>'[9]60min + sprinter + 20min'!$G$5</f>
        <v>20</v>
      </c>
      <c r="G9" s="222">
        <f>'[9]Lode 60+20min'!$T$5</f>
        <v>740.3875515057922</v>
      </c>
      <c r="H9" s="246">
        <f>'[9]60min + sprinter + 20min'!$H$5</f>
        <v>20</v>
      </c>
      <c r="I9" s="222">
        <f>'[9]Lode 60+20min'!$T$6</f>
        <v>695.73523519474884</v>
      </c>
      <c r="J9" s="9">
        <f>'[9]60min + sprinter + 20min'!$I$5</f>
        <v>20</v>
      </c>
      <c r="K9" s="222">
        <f>'[9]Lode 60+20min'!$T$7</f>
        <v>675.12401855930818</v>
      </c>
      <c r="L9" s="255">
        <f>'[9]60min + sprinter + 20min'!$J$5</f>
        <v>20</v>
      </c>
      <c r="P9" s="32" t="s">
        <v>61</v>
      </c>
      <c r="Q9" s="133" t="s">
        <v>69</v>
      </c>
      <c r="R9" s="234">
        <f>'[10]Lode 60+20min'!$T$3</f>
        <v>849.9955725635723</v>
      </c>
      <c r="S9" s="856"/>
      <c r="T9" s="222">
        <f>'[10]Lode 60+20min'!$T$4</f>
        <v>609.62239045711385</v>
      </c>
      <c r="U9" s="9">
        <f>'[10]60min + sprinter + 20min'!$G$5</f>
        <v>18</v>
      </c>
      <c r="V9" s="222">
        <f>'[10]Lode 60+20min'!$T$5</f>
        <v>591.69339474236449</v>
      </c>
      <c r="W9" s="246">
        <f>'[10]60min + sprinter + 20min'!$H$5</f>
        <v>18</v>
      </c>
      <c r="X9" s="222">
        <f>'[10]Lode 60+20min'!$T$6</f>
        <v>600.899807049164</v>
      </c>
      <c r="Y9" s="9">
        <f>'[10]60min + sprinter + 20min'!$I$5</f>
        <v>18</v>
      </c>
      <c r="Z9" s="222">
        <f>'[10]Lode 60+20min'!$T$7</f>
        <v>604.83264510665413</v>
      </c>
      <c r="AA9" s="255">
        <f>'[10]60min + sprinter + 20min'!$J$5</f>
        <v>18</v>
      </c>
    </row>
    <row r="10" spans="1:28" ht="16" thickBot="1">
      <c r="A10" s="32" t="s">
        <v>60</v>
      </c>
      <c r="B10" s="133" t="s">
        <v>68</v>
      </c>
      <c r="C10" s="237">
        <f>'[11]Lode 60+20min'!$T$3</f>
        <v>1048.8249045559594</v>
      </c>
      <c r="D10" s="225"/>
      <c r="E10" s="248">
        <f>'[11]Lode 60+20min'!$T$4</f>
        <v>758.89648975841101</v>
      </c>
      <c r="F10" s="9">
        <f>'[11]60min + sprinter + 20min'!$G$5</f>
        <v>19</v>
      </c>
      <c r="G10" s="222">
        <f>'[11]Lode 60+20min'!$T$5</f>
        <v>732.69336170090003</v>
      </c>
      <c r="H10" s="246">
        <f>'[11]60min + sprinter + 20min'!$H$5</f>
        <v>19</v>
      </c>
      <c r="I10" s="222">
        <f>'[11]Lode 60+20min'!$T$6</f>
        <v>692.71450274540246</v>
      </c>
      <c r="J10" s="9">
        <f>'[11]60min + sprinter + 20min'!$I$5</f>
        <v>20</v>
      </c>
      <c r="K10" s="222">
        <f>'[11]Lode 60+20min'!$T$7</f>
        <v>666.62925839303625</v>
      </c>
      <c r="L10" s="255">
        <f>'[11]60min + sprinter + 20min'!$J$5</f>
        <v>20</v>
      </c>
      <c r="M10" t="s">
        <v>165</v>
      </c>
      <c r="P10" s="32" t="s">
        <v>61</v>
      </c>
      <c r="Q10" s="133" t="s">
        <v>70</v>
      </c>
      <c r="R10" s="234">
        <f>'[13]Lode 60+20min'!$T$3</f>
        <v>656.05739532324276</v>
      </c>
      <c r="S10" s="856"/>
      <c r="T10" s="222">
        <f>'[13]Lode 60+20min'!$T$4</f>
        <v>512.13033542893822</v>
      </c>
      <c r="U10" s="9">
        <f>'[13]60min + sprinter + 20min'!$G$5</f>
        <v>20</v>
      </c>
      <c r="V10" s="222">
        <f>'[13]Lode 60+20min'!$T$5</f>
        <v>515.95933141928174</v>
      </c>
      <c r="W10" s="246">
        <f>'[13]60min + sprinter + 20min'!$H$5</f>
        <v>20</v>
      </c>
      <c r="X10" s="222">
        <f>'[13]Lode 60+20min'!$T$6</f>
        <v>520.05972811960771</v>
      </c>
      <c r="Y10" s="9">
        <f>'[13]60min + sprinter + 20min'!$I$5</f>
        <v>20</v>
      </c>
      <c r="Z10" s="222">
        <f>'[13]Lode 60+20min'!$T$7</f>
        <v>491.6073605934539</v>
      </c>
      <c r="AA10" s="255">
        <f>'[13]60min + sprinter + 20min'!$J$5</f>
        <v>20</v>
      </c>
    </row>
    <row r="11" spans="1:28" ht="16" thickBot="1">
      <c r="A11" s="32" t="s">
        <v>60</v>
      </c>
      <c r="B11" s="133" t="s">
        <v>71</v>
      </c>
      <c r="C11" s="237">
        <f>'[14]Lode 60+20min'!$T$3</f>
        <v>1085.7960191083068</v>
      </c>
      <c r="D11" s="225"/>
      <c r="E11" s="248">
        <f>'[14]Lode 60+20min'!$T$4</f>
        <v>814.84942271405737</v>
      </c>
      <c r="F11" s="9">
        <f>'[14]60min + sprinter + 20min'!$G$5</f>
        <v>18</v>
      </c>
      <c r="G11" s="222">
        <f>'[14]Lode 60+20min'!$T$5</f>
        <v>787.36129276733323</v>
      </c>
      <c r="H11" s="246">
        <f>'[14]60min + sprinter + 20min'!$H$5</f>
        <v>19</v>
      </c>
      <c r="I11" s="222">
        <f>'[14]Lode 60+20min'!$T$6</f>
        <v>778.08187546235513</v>
      </c>
      <c r="J11" s="9">
        <f>'[14]60min + sprinter + 20min'!$I$5</f>
        <v>19</v>
      </c>
      <c r="K11" s="222">
        <f>'[14]Lode 60+20min'!$T$7</f>
        <v>752.20683793676289</v>
      </c>
      <c r="L11" s="255">
        <f>'[14]60min + sprinter + 20min'!$J$5</f>
        <v>20</v>
      </c>
      <c r="P11" s="53" t="s">
        <v>61</v>
      </c>
      <c r="Q11" s="133" t="s">
        <v>74</v>
      </c>
      <c r="R11" s="236">
        <f>'[15]Lode 60+20min'!$T$3</f>
        <v>994.06600150764757</v>
      </c>
      <c r="S11" s="856"/>
      <c r="T11" s="265">
        <f>'[15]Lode 60+20min'!$T$4</f>
        <v>629.57791858480266</v>
      </c>
      <c r="U11" s="263">
        <f>'[15]60min + sprinter + 20min'!$G$5</f>
        <v>20</v>
      </c>
      <c r="V11" s="862">
        <v>663</v>
      </c>
      <c r="W11" s="264">
        <f>'[15]60min + sprinter + 20min'!$H$5</f>
        <v>20</v>
      </c>
      <c r="X11" s="262">
        <f>'[15]Lode 60+20min'!$T$6</f>
        <v>619.63606360417305</v>
      </c>
      <c r="Y11" s="263">
        <f>'[15]60min + sprinter + 20min'!$I$5</f>
        <v>20</v>
      </c>
      <c r="Z11" s="262">
        <f>'[15]Lode 60+20min'!$T$7</f>
        <v>541.69727196426209</v>
      </c>
      <c r="AA11" s="256">
        <f>'[15]60min + sprinter + 20min'!$J$5</f>
        <v>20</v>
      </c>
      <c r="AB11" s="185" t="s">
        <v>166</v>
      </c>
    </row>
    <row r="12" spans="1:28" ht="16" thickBot="1">
      <c r="A12" s="32" t="s">
        <v>60</v>
      </c>
      <c r="B12" s="133" t="s">
        <v>72</v>
      </c>
      <c r="C12" s="237">
        <f>'[16]Lode 60+20min'!$T$3</f>
        <v>845.53437481397964</v>
      </c>
      <c r="D12" s="225"/>
      <c r="E12" s="248">
        <f>'[16]Lode 60+20min'!$T$5</f>
        <v>713.9093169247293</v>
      </c>
      <c r="F12" s="9">
        <f>'[16]60min + sprinter + 20min'!$G$5</f>
        <v>17</v>
      </c>
      <c r="G12" s="222">
        <f>'[16]Lode 60+20min'!$T$6</f>
        <v>703.0359100952079</v>
      </c>
      <c r="H12" s="246">
        <f>'[16]60min + sprinter + 20min'!$H$5</f>
        <v>18</v>
      </c>
      <c r="I12" s="222">
        <f>'[16]Lode 60+20min'!$T$7</f>
        <v>701.38271807886076</v>
      </c>
      <c r="J12" s="9">
        <f>'[16]60min + sprinter + 20min'!$I$5</f>
        <v>19</v>
      </c>
      <c r="K12" s="222">
        <f>'[16]Lode 60+20min'!$T$8</f>
        <v>732.68751971027427</v>
      </c>
      <c r="L12" s="255">
        <f>'[16]60min + sprinter + 20min'!$J$5</f>
        <v>20</v>
      </c>
      <c r="Q12" s="16" t="s">
        <v>76</v>
      </c>
      <c r="R12" s="124">
        <f>AVERAGE(R5:R11)</f>
        <v>1075.6492694228878</v>
      </c>
      <c r="S12" s="124"/>
      <c r="T12" s="124">
        <f>AVERAGE(T5:T11)</f>
        <v>680.78355419524644</v>
      </c>
      <c r="U12" s="124">
        <f t="shared" ref="U12:AA12" si="0">AVERAGE(U5:U11)</f>
        <v>19.142857142857142</v>
      </c>
      <c r="V12" s="124">
        <f t="shared" si="0"/>
        <v>669.59624491291231</v>
      </c>
      <c r="W12" s="124">
        <f t="shared" si="0"/>
        <v>19</v>
      </c>
      <c r="X12" s="124">
        <f t="shared" si="0"/>
        <v>640.58539955312585</v>
      </c>
      <c r="Y12" s="124">
        <f t="shared" si="0"/>
        <v>19.285714285714285</v>
      </c>
      <c r="Z12" s="124">
        <f t="shared" si="0"/>
        <v>637.32174913592974</v>
      </c>
      <c r="AA12" s="124">
        <f t="shared" si="0"/>
        <v>19.285714285714285</v>
      </c>
    </row>
    <row r="13" spans="1:28" ht="16" thickBot="1">
      <c r="A13" s="53" t="s">
        <v>60</v>
      </c>
      <c r="B13" s="133" t="s">
        <v>73</v>
      </c>
      <c r="C13" s="237">
        <f>'[17]Lode 60+20min'!$T$3</f>
        <v>978.0010270918367</v>
      </c>
      <c r="D13" s="225"/>
      <c r="E13" s="250">
        <f>'[17]Lode 60+20min'!$T$4</f>
        <v>707.00600135766024</v>
      </c>
      <c r="F13" s="263">
        <f>'[17]60min + sprinter + 20min'!$G$5</f>
        <v>20</v>
      </c>
      <c r="G13" s="262">
        <f>'[17]Lode 60+20min'!$T$5</f>
        <v>671.67359078161076</v>
      </c>
      <c r="H13" s="264">
        <f>'[17]60min + sprinter + 20min'!$H$5</f>
        <v>19</v>
      </c>
      <c r="I13" s="262">
        <f>'[17]Lode 60+20min'!$T$6</f>
        <v>653.96583029726469</v>
      </c>
      <c r="J13" s="263">
        <f>'[17]60min + sprinter + 20min'!$I$5</f>
        <v>20</v>
      </c>
      <c r="K13" s="262">
        <f>'[17]Lode 60+20min'!$T$7</f>
        <v>667.11441568197631</v>
      </c>
      <c r="L13" s="256">
        <f>'[17]60min + sprinter + 20min'!$J$5</f>
        <v>20</v>
      </c>
      <c r="Q13" s="16" t="s">
        <v>13</v>
      </c>
      <c r="R13" s="124">
        <f>STDEVA(R5:R11)</f>
        <v>270.59132451288303</v>
      </c>
      <c r="S13" s="124"/>
      <c r="T13" s="124">
        <f t="shared" ref="T13:AA13" si="1">STDEVA(T5:T11)</f>
        <v>103.5329838956858</v>
      </c>
      <c r="U13" s="124">
        <f t="shared" si="1"/>
        <v>1.0690449676496976</v>
      </c>
      <c r="V13" s="124">
        <f t="shared" si="1"/>
        <v>89.049899683953441</v>
      </c>
      <c r="W13" s="124">
        <f t="shared" si="1"/>
        <v>1.2909944487358056</v>
      </c>
      <c r="X13" s="124">
        <f t="shared" si="1"/>
        <v>87.284713686926452</v>
      </c>
      <c r="Y13" s="124">
        <f t="shared" si="1"/>
        <v>0.95118973121134176</v>
      </c>
      <c r="Z13" s="124">
        <f t="shared" si="1"/>
        <v>100.03715102597907</v>
      </c>
      <c r="AA13" s="124">
        <f t="shared" si="1"/>
        <v>0.95118973121134176</v>
      </c>
    </row>
    <row r="14" spans="1:28">
      <c r="A14" s="51"/>
      <c r="B14" s="16" t="s">
        <v>76</v>
      </c>
      <c r="C14" s="124">
        <f>AVERAGE(C5:C13)</f>
        <v>1036.4081267127228</v>
      </c>
      <c r="D14" s="124"/>
      <c r="E14" s="124">
        <f t="shared" ref="E14:L14" si="2">AVERAGE(E5:E13)</f>
        <v>745.54161496479662</v>
      </c>
      <c r="F14" s="124">
        <f t="shared" si="2"/>
        <v>19</v>
      </c>
      <c r="G14" s="124">
        <f t="shared" si="2"/>
        <v>718.5427850113449</v>
      </c>
      <c r="H14" s="124">
        <f t="shared" si="2"/>
        <v>19</v>
      </c>
      <c r="I14" s="124">
        <f t="shared" si="2"/>
        <v>714.7765073434033</v>
      </c>
      <c r="J14" s="124">
        <f t="shared" si="2"/>
        <v>19.625</v>
      </c>
      <c r="K14" s="124">
        <f t="shared" si="2"/>
        <v>695.15058051183723</v>
      </c>
      <c r="L14" s="124">
        <f t="shared" si="2"/>
        <v>19.75</v>
      </c>
      <c r="Q14" s="16" t="s">
        <v>14</v>
      </c>
      <c r="R14" s="124">
        <f>R13/SQRT(COUNT(R5:R11))</f>
        <v>102.27390737038063</v>
      </c>
      <c r="S14" s="124"/>
      <c r="T14" s="124">
        <f t="shared" ref="T14:AA14" si="3">T13/SQRT(COUNT(T5:T11))</f>
        <v>39.13178969720569</v>
      </c>
      <c r="U14" s="124">
        <f t="shared" si="3"/>
        <v>0.40406101782088427</v>
      </c>
      <c r="V14" s="124">
        <f t="shared" si="3"/>
        <v>33.657698405570009</v>
      </c>
      <c r="W14" s="124">
        <f t="shared" si="3"/>
        <v>0.48795003647426655</v>
      </c>
      <c r="X14" s="124">
        <f t="shared" si="3"/>
        <v>32.990520810440437</v>
      </c>
      <c r="Y14" s="124">
        <f t="shared" si="3"/>
        <v>0.35951592548908329</v>
      </c>
      <c r="Z14" s="124">
        <f t="shared" si="3"/>
        <v>37.810489068878653</v>
      </c>
      <c r="AA14" s="124">
        <f t="shared" si="3"/>
        <v>0.35951592548908329</v>
      </c>
    </row>
    <row r="15" spans="1:28">
      <c r="B15" s="16" t="s">
        <v>13</v>
      </c>
      <c r="C15" s="124">
        <f>STDEVA(C5:C13)</f>
        <v>94.628255204957824</v>
      </c>
      <c r="D15" s="124"/>
      <c r="E15" s="124">
        <f>STDEVA(E5:E13)</f>
        <v>64.159184787755024</v>
      </c>
      <c r="F15" s="124">
        <f t="shared" ref="F15:L15" si="4">STDEVA(F5:F13)</f>
        <v>1.3228756555322954</v>
      </c>
      <c r="G15" s="124">
        <f t="shared" si="4"/>
        <v>66.659059352133966</v>
      </c>
      <c r="H15" s="124">
        <f t="shared" si="4"/>
        <v>1.3228756555322954</v>
      </c>
      <c r="I15" s="124">
        <f t="shared" si="4"/>
        <v>48.561699986476995</v>
      </c>
      <c r="J15" s="124">
        <f t="shared" si="4"/>
        <v>0.51754916950676566</v>
      </c>
      <c r="K15" s="124">
        <f t="shared" si="4"/>
        <v>43.796153061764535</v>
      </c>
      <c r="L15" s="124">
        <f t="shared" si="4"/>
        <v>0.70710678118654757</v>
      </c>
      <c r="Q15" s="16" t="s">
        <v>99</v>
      </c>
      <c r="R15" s="821">
        <f>(R46-R12)/R13</f>
        <v>2.8357370153548944E-2</v>
      </c>
    </row>
    <row r="16" spans="1:28">
      <c r="A16" s="242"/>
      <c r="B16" s="16" t="s">
        <v>14</v>
      </c>
      <c r="C16" s="124">
        <f>C15/SQRT(COUNT(C5:C13))</f>
        <v>31.542751734985941</v>
      </c>
      <c r="D16" s="124"/>
      <c r="E16" s="124">
        <f t="shared" ref="E16:L16" si="5">E15/SQRT(COUNT(E5:E13))</f>
        <v>21.386394929251676</v>
      </c>
      <c r="F16" s="124">
        <f t="shared" si="5"/>
        <v>0.44095855184409843</v>
      </c>
      <c r="G16" s="124">
        <f t="shared" si="5"/>
        <v>22.219686450711322</v>
      </c>
      <c r="H16" s="124">
        <f t="shared" si="5"/>
        <v>0.44095855184409843</v>
      </c>
      <c r="I16" s="124">
        <f t="shared" si="5"/>
        <v>17.169153683192278</v>
      </c>
      <c r="J16" s="124">
        <f t="shared" si="5"/>
        <v>0.18298126367784995</v>
      </c>
      <c r="K16" s="124">
        <f t="shared" si="5"/>
        <v>15.484278409928839</v>
      </c>
      <c r="L16" s="124">
        <f t="shared" si="5"/>
        <v>0.25</v>
      </c>
    </row>
    <row r="17" spans="1:26">
      <c r="A17" s="242"/>
      <c r="B17" s="16" t="s">
        <v>99</v>
      </c>
      <c r="C17" s="821">
        <f>(C48-C14)/C15</f>
        <v>0.49389204691724287</v>
      </c>
      <c r="D17" s="124"/>
      <c r="E17" s="124"/>
      <c r="F17" s="124"/>
      <c r="G17" s="124"/>
      <c r="H17" s="124"/>
      <c r="I17" s="124"/>
      <c r="J17" s="124"/>
      <c r="K17" s="124"/>
      <c r="L17" s="124"/>
      <c r="U17" s="142" t="s">
        <v>80</v>
      </c>
      <c r="V17" s="124">
        <f>(V5-T5)/T5*100</f>
        <v>-5.780642743639917</v>
      </c>
      <c r="W17" s="124"/>
      <c r="X17" s="124">
        <f>(X5-T5)/T5*100</f>
        <v>-10.19191205319621</v>
      </c>
      <c r="Y17" s="124"/>
      <c r="Z17" s="124">
        <f>(Z5-T5)/T5*100</f>
        <v>-13.948164354861243</v>
      </c>
    </row>
    <row r="18" spans="1:26">
      <c r="A18" s="242"/>
      <c r="B18" s="16"/>
      <c r="C18" s="275"/>
      <c r="D18" s="124"/>
      <c r="E18" s="124"/>
      <c r="F18" s="124"/>
      <c r="G18" s="124"/>
      <c r="H18" s="124"/>
      <c r="I18" s="124"/>
      <c r="J18" s="124"/>
      <c r="K18" s="124"/>
      <c r="L18" s="124"/>
      <c r="V18" s="124">
        <f>(V6-T6)/T6*100</f>
        <v>-8.7154510373651863</v>
      </c>
      <c r="W18" s="124"/>
      <c r="X18" s="124">
        <f t="shared" ref="X18:X23" si="6">(X6-T6)/T6*100</f>
        <v>-28.477711447553645</v>
      </c>
      <c r="Y18" s="124"/>
      <c r="Z18" s="124">
        <f t="shared" ref="Z18:Z23" si="7">(Z6-T6)/T6*100</f>
        <v>-18.152784588192144</v>
      </c>
    </row>
    <row r="19" spans="1:26">
      <c r="A19" s="242" t="s">
        <v>162</v>
      </c>
      <c r="B19" s="16"/>
      <c r="C19" s="124"/>
      <c r="D19" s="124"/>
      <c r="E19" s="124"/>
      <c r="F19" s="142" t="s">
        <v>80</v>
      </c>
      <c r="G19" s="124">
        <f>(G5-E5)/E5*100</f>
        <v>-2.5665530178324016</v>
      </c>
      <c r="H19" s="124"/>
      <c r="I19" s="124">
        <f>(I5-E5)/E5*100</f>
        <v>-6.7745643805313644</v>
      </c>
      <c r="J19" s="124"/>
      <c r="K19" s="124">
        <f>(K5-E5)/E5*100</f>
        <v>-11.970244634243249</v>
      </c>
      <c r="L19" s="124"/>
      <c r="V19" s="124">
        <f t="shared" ref="V19:V22" si="8">(V7-T7)/T7*100</f>
        <v>1.1124251934736933</v>
      </c>
      <c r="W19" s="124"/>
      <c r="X19" s="124">
        <f t="shared" si="6"/>
        <v>9.8500292828895848</v>
      </c>
      <c r="Y19" s="124"/>
      <c r="Z19" s="124">
        <f t="shared" si="7"/>
        <v>11.452327796414739</v>
      </c>
    </row>
    <row r="20" spans="1:26">
      <c r="A20" s="242"/>
      <c r="B20" s="16"/>
      <c r="C20" s="124"/>
      <c r="D20" s="124"/>
      <c r="E20" s="124"/>
      <c r="G20" s="124">
        <f t="shared" ref="G20:G27" si="9">(G6-E6)/E6*100</f>
        <v>-6.9589845820769023</v>
      </c>
      <c r="H20" s="124"/>
      <c r="I20" s="124">
        <f t="shared" ref="I20:I27" si="10">(I6-E6)/E6*100</f>
        <v>-8.2630878457521781</v>
      </c>
      <c r="J20" s="124"/>
      <c r="K20" s="124">
        <f t="shared" ref="K20:K27" si="11">(K6-E6)/E6*100</f>
        <v>-13.606129212569954</v>
      </c>
      <c r="L20" s="124"/>
      <c r="V20" s="124">
        <f t="shared" si="8"/>
        <v>1.1006982078704679</v>
      </c>
      <c r="W20" s="124"/>
      <c r="X20" s="124">
        <f t="shared" si="6"/>
        <v>-4.4224751089159433</v>
      </c>
      <c r="Y20" s="124"/>
      <c r="Z20" s="124">
        <f t="shared" si="7"/>
        <v>-2.3056233635706267</v>
      </c>
    </row>
    <row r="21" spans="1:26">
      <c r="A21" s="242"/>
      <c r="B21" s="16"/>
      <c r="C21" s="124"/>
      <c r="D21" s="124"/>
      <c r="E21" s="124"/>
      <c r="G21" s="124">
        <f t="shared" si="9"/>
        <v>-2.803657696515367</v>
      </c>
      <c r="H21" s="124"/>
      <c r="I21" s="124">
        <f t="shared" si="10"/>
        <v>1.7845830936188158</v>
      </c>
      <c r="J21" s="124"/>
      <c r="K21" s="124">
        <f t="shared" si="11"/>
        <v>-4.5903161409457223</v>
      </c>
      <c r="L21" s="124"/>
      <c r="V21" s="124">
        <f t="shared" si="8"/>
        <v>-2.9410001987140997</v>
      </c>
      <c r="W21" s="124"/>
      <c r="X21" s="124">
        <f t="shared" si="6"/>
        <v>-1.4308174280490895</v>
      </c>
      <c r="Y21" s="124"/>
      <c r="Z21" s="124">
        <f t="shared" si="7"/>
        <v>-0.78569052341864043</v>
      </c>
    </row>
    <row r="22" spans="1:26">
      <c r="A22" s="242"/>
      <c r="B22" s="16"/>
      <c r="C22" s="124"/>
      <c r="D22" s="124"/>
      <c r="E22" s="124"/>
      <c r="G22" s="124">
        <f t="shared" si="9"/>
        <v>-8.4800431780148156</v>
      </c>
      <c r="H22" s="124"/>
      <c r="I22" s="124"/>
      <c r="J22" s="124"/>
      <c r="K22" s="124"/>
      <c r="L22" s="124"/>
      <c r="V22" s="124">
        <f t="shared" si="8"/>
        <v>0.74766045388358282</v>
      </c>
      <c r="W22" s="124"/>
      <c r="X22" s="124">
        <f t="shared" si="6"/>
        <v>1.5483153685922884</v>
      </c>
      <c r="Y22" s="124"/>
      <c r="Z22" s="124">
        <f t="shared" si="7"/>
        <v>-4.0073734000340293</v>
      </c>
    </row>
    <row r="23" spans="1:26" ht="16" thickBot="1">
      <c r="A23" s="242"/>
      <c r="B23" s="16"/>
      <c r="C23" s="124"/>
      <c r="D23" s="124"/>
      <c r="E23" s="124"/>
      <c r="G23" s="124">
        <f t="shared" si="9"/>
        <v>1.4102419625421376</v>
      </c>
      <c r="H23" s="124"/>
      <c r="I23" s="124">
        <f t="shared" si="10"/>
        <v>-4.7057471462448293</v>
      </c>
      <c r="J23" s="124"/>
      <c r="K23" s="124">
        <f t="shared" si="11"/>
        <v>-7.5288476452894288</v>
      </c>
      <c r="L23" s="124"/>
      <c r="U23" s="269"/>
      <c r="V23" s="273">
        <f>(V11-T11)/T11*100</f>
        <v>5.3086489263037056</v>
      </c>
      <c r="W23" s="274"/>
      <c r="X23" s="274">
        <f t="shared" si="6"/>
        <v>-1.5791301897908716</v>
      </c>
      <c r="Y23" s="274"/>
      <c r="Z23" s="274">
        <f t="shared" si="7"/>
        <v>-13.958660878399797</v>
      </c>
    </row>
    <row r="24" spans="1:26">
      <c r="A24" s="242"/>
      <c r="B24" s="16"/>
      <c r="C24" s="124"/>
      <c r="D24" s="124"/>
      <c r="E24" s="124"/>
      <c r="G24" s="124">
        <f t="shared" si="9"/>
        <v>-3.4527934192781085</v>
      </c>
      <c r="H24" s="124"/>
      <c r="I24" s="124">
        <f t="shared" si="10"/>
        <v>-8.720818702703065</v>
      </c>
      <c r="J24" s="124"/>
      <c r="K24" s="124">
        <f t="shared" si="11"/>
        <v>-12.158078553604502</v>
      </c>
      <c r="L24" s="124"/>
      <c r="U24" s="142" t="s">
        <v>76</v>
      </c>
      <c r="V24" s="179">
        <f>AVERAGE(V17:V23)</f>
        <v>-1.3096658854553933</v>
      </c>
      <c r="W24" s="142"/>
      <c r="X24" s="179">
        <f>AVERAGE(X17:X23)</f>
        <v>-4.9576716537176981</v>
      </c>
      <c r="Y24" s="142"/>
      <c r="Z24" s="179">
        <f>AVERAGE(Z17:Z23)</f>
        <v>-5.9579956160088212</v>
      </c>
    </row>
    <row r="25" spans="1:26">
      <c r="A25" s="242"/>
      <c r="B25" s="16"/>
      <c r="C25" s="124"/>
      <c r="D25" s="124"/>
      <c r="E25" s="124"/>
      <c r="G25" s="124">
        <f t="shared" si="9"/>
        <v>-3.3733999412024049</v>
      </c>
      <c r="H25" s="124"/>
      <c r="I25" s="124">
        <f t="shared" si="10"/>
        <v>-4.5121891513696895</v>
      </c>
      <c r="J25" s="124"/>
      <c r="K25" s="124">
        <f t="shared" si="11"/>
        <v>-7.6876270671761491</v>
      </c>
      <c r="L25" s="124"/>
      <c r="U25" s="142" t="s">
        <v>13</v>
      </c>
      <c r="V25" s="179">
        <f>STDEVA(V17:V23)</f>
        <v>4.7820428391953058</v>
      </c>
      <c r="W25" s="142"/>
      <c r="X25" s="179">
        <f>STDEVA(X17:X23)</f>
        <v>12.016135659463504</v>
      </c>
      <c r="Y25" s="142"/>
      <c r="Z25" s="179">
        <f>STDEVA(Z17:Z23)</f>
        <v>10.194632334289951</v>
      </c>
    </row>
    <row r="26" spans="1:26">
      <c r="A26" s="242"/>
      <c r="B26" s="16"/>
      <c r="C26" s="124"/>
      <c r="D26" s="124"/>
      <c r="E26" s="124"/>
      <c r="G26" s="124">
        <f>(G12-E12)/E12*100</f>
        <v>-1.5230795525067833</v>
      </c>
      <c r="H26" s="124"/>
      <c r="I26" s="124">
        <f t="shared" si="10"/>
        <v>-1.7546484614921014</v>
      </c>
      <c r="J26" s="124"/>
      <c r="K26" s="124">
        <f t="shared" si="11"/>
        <v>2.6303344613059378</v>
      </c>
      <c r="L26" s="124"/>
      <c r="U26" s="142" t="s">
        <v>14</v>
      </c>
      <c r="V26" s="179">
        <f>V25/SQRT(COUNT(V17:V23))</f>
        <v>1.8074423016240024</v>
      </c>
      <c r="W26" s="142"/>
      <c r="X26" s="179">
        <f>X25/SQRT(COUNT(X17:X23))</f>
        <v>4.5416723821365066</v>
      </c>
      <c r="Y26" s="142"/>
      <c r="Z26" s="179">
        <f>Z25/SQRT(COUNT(Z17:Z23))</f>
        <v>3.8532088377527289</v>
      </c>
    </row>
    <row r="27" spans="1:26" ht="16" thickBot="1">
      <c r="A27" s="242"/>
      <c r="B27" s="16"/>
      <c r="C27" s="124"/>
      <c r="D27" s="124"/>
      <c r="E27" s="124"/>
      <c r="F27" s="269"/>
      <c r="G27" s="274">
        <f t="shared" si="9"/>
        <v>-4.9974696831711221</v>
      </c>
      <c r="H27" s="274"/>
      <c r="I27" s="274">
        <f t="shared" si="10"/>
        <v>-7.5020821546836602</v>
      </c>
      <c r="J27" s="274"/>
      <c r="K27" s="274">
        <f t="shared" si="11"/>
        <v>-5.6423263167611459</v>
      </c>
      <c r="L27" s="124"/>
      <c r="U27" s="111" t="s">
        <v>100</v>
      </c>
      <c r="V27" s="117"/>
      <c r="W27" s="117"/>
      <c r="X27" s="117"/>
      <c r="Y27" s="117"/>
      <c r="Z27" s="117"/>
    </row>
    <row r="28" spans="1:26">
      <c r="A28" s="242"/>
      <c r="B28" s="16"/>
      <c r="C28" s="124"/>
      <c r="D28" s="124"/>
      <c r="E28" s="124"/>
      <c r="F28" s="142" t="s">
        <v>76</v>
      </c>
      <c r="G28" s="179">
        <f>AVERAGE(G19:G27)</f>
        <v>-3.6384154564506415</v>
      </c>
      <c r="H28" s="142"/>
      <c r="I28" s="179">
        <f t="shared" ref="I28" si="12">AVERAGE(I19:I27)</f>
        <v>-5.0560693436447597</v>
      </c>
      <c r="J28" s="142"/>
      <c r="K28" s="179">
        <f t="shared" ref="K28" si="13">AVERAGE(K19:K27)</f>
        <v>-7.5691543886605288</v>
      </c>
      <c r="L28" s="124"/>
      <c r="U28" s="111" t="s">
        <v>101</v>
      </c>
      <c r="V28" s="118"/>
      <c r="W28" s="115"/>
      <c r="X28" s="115"/>
      <c r="Y28" s="115"/>
      <c r="Z28" s="115"/>
    </row>
    <row r="29" spans="1:26">
      <c r="A29" s="242"/>
      <c r="B29" s="16"/>
      <c r="C29" s="124"/>
      <c r="D29" s="124"/>
      <c r="E29" s="124"/>
      <c r="F29" s="142" t="s">
        <v>13</v>
      </c>
      <c r="G29" s="179">
        <f t="shared" ref="G29" si="14">STDEVA(G19:G27)</f>
        <v>2.9203713974726693</v>
      </c>
      <c r="H29" s="142"/>
      <c r="I29" s="179">
        <f t="shared" ref="I29" si="15">STDEVA(I19:I27)</f>
        <v>3.6008728369510203</v>
      </c>
      <c r="J29" s="142"/>
      <c r="K29" s="179">
        <f t="shared" ref="K29" si="16">STDEVA(K19:K27)</f>
        <v>5.2577053971195493</v>
      </c>
      <c r="L29" s="124"/>
    </row>
    <row r="30" spans="1:26">
      <c r="A30" s="242"/>
      <c r="B30" s="16"/>
      <c r="C30" s="124"/>
      <c r="D30" s="124"/>
      <c r="E30" s="124"/>
      <c r="F30" s="142" t="s">
        <v>14</v>
      </c>
      <c r="G30" s="179">
        <f>G29/SQRT(COUNT(G19:G27))</f>
        <v>0.97345713249088972</v>
      </c>
      <c r="H30" s="142"/>
      <c r="I30" s="179">
        <f t="shared" ref="I30" si="17">I29/SQRT(COUNT(I19:I27))</f>
        <v>1.2731008005992539</v>
      </c>
      <c r="J30" s="142"/>
      <c r="K30" s="179">
        <f t="shared" ref="K30" si="18">K29/SQRT(COUNT(K19:K27))</f>
        <v>1.8588795698921714</v>
      </c>
      <c r="L30" s="124"/>
    </row>
    <row r="31" spans="1:26">
      <c r="A31" s="242"/>
      <c r="B31" s="16"/>
      <c r="C31" s="124"/>
      <c r="D31" s="124"/>
      <c r="E31" s="124"/>
      <c r="F31" s="111" t="s">
        <v>100</v>
      </c>
      <c r="G31" s="117"/>
      <c r="H31" s="117"/>
      <c r="I31" s="117"/>
      <c r="J31" s="117"/>
      <c r="K31" s="117"/>
      <c r="L31" s="124"/>
    </row>
    <row r="32" spans="1:26">
      <c r="A32" s="242"/>
      <c r="B32" s="16"/>
      <c r="C32" s="124"/>
      <c r="D32" s="124"/>
      <c r="E32" s="124"/>
      <c r="F32" s="111" t="s">
        <v>101</v>
      </c>
      <c r="G32" s="118"/>
      <c r="H32" s="115"/>
      <c r="I32" s="115"/>
      <c r="J32" s="115"/>
      <c r="K32" s="115"/>
      <c r="L32" s="124"/>
    </row>
    <row r="33" spans="1:27">
      <c r="A33" s="242"/>
      <c r="B33" s="216"/>
      <c r="C33" s="216"/>
      <c r="D33" s="216"/>
    </row>
    <row r="34" spans="1:27">
      <c r="B34" s="216"/>
      <c r="C34" s="216"/>
      <c r="D34" s="216"/>
    </row>
    <row r="35" spans="1:27" ht="16" thickBot="1"/>
    <row r="36" spans="1:27" ht="16" thickBot="1">
      <c r="A36" s="1467" t="s">
        <v>157</v>
      </c>
      <c r="B36" s="1476"/>
      <c r="C36" s="1473" t="s">
        <v>159</v>
      </c>
      <c r="D36" s="1496"/>
      <c r="E36" s="1331" t="s">
        <v>151</v>
      </c>
      <c r="F36" s="1332"/>
      <c r="G36" s="1332" t="s">
        <v>153</v>
      </c>
      <c r="H36" s="1331"/>
      <c r="I36" s="1466" t="s">
        <v>154</v>
      </c>
      <c r="J36" s="1466"/>
      <c r="K36" s="1332" t="s">
        <v>155</v>
      </c>
      <c r="L36" s="1466"/>
      <c r="P36" s="1467" t="s">
        <v>157</v>
      </c>
      <c r="Q36" s="1468"/>
      <c r="R36" s="1473" t="s">
        <v>159</v>
      </c>
      <c r="S36" s="1474"/>
      <c r="T36" s="1331" t="s">
        <v>151</v>
      </c>
      <c r="U36" s="1332"/>
      <c r="V36" s="1466" t="s">
        <v>153</v>
      </c>
      <c r="W36" s="1466"/>
      <c r="X36" s="1466" t="s">
        <v>154</v>
      </c>
      <c r="Y36" s="1466"/>
      <c r="Z36" s="1466" t="s">
        <v>155</v>
      </c>
      <c r="AA36" s="1466"/>
    </row>
    <row r="37" spans="1:27" ht="16" thickBot="1">
      <c r="A37" s="1469"/>
      <c r="B37" s="1477"/>
      <c r="C37" s="212" t="s">
        <v>152</v>
      </c>
      <c r="D37" s="210" t="s">
        <v>40</v>
      </c>
      <c r="E37" s="212" t="s">
        <v>152</v>
      </c>
      <c r="F37" s="212" t="s">
        <v>40</v>
      </c>
      <c r="G37" s="211" t="s">
        <v>152</v>
      </c>
      <c r="H37" s="210" t="s">
        <v>40</v>
      </c>
      <c r="I37" s="212" t="s">
        <v>152</v>
      </c>
      <c r="J37" s="212" t="s">
        <v>40</v>
      </c>
      <c r="K37" s="211" t="s">
        <v>152</v>
      </c>
      <c r="L37" s="212" t="s">
        <v>40</v>
      </c>
      <c r="P37" s="1469"/>
      <c r="Q37" s="1470"/>
      <c r="R37" s="212" t="s">
        <v>152</v>
      </c>
      <c r="S37" s="212" t="s">
        <v>40</v>
      </c>
      <c r="T37" s="13" t="s">
        <v>152</v>
      </c>
      <c r="U37" s="13" t="s">
        <v>40</v>
      </c>
      <c r="V37" s="13" t="s">
        <v>152</v>
      </c>
      <c r="W37" s="13" t="s">
        <v>40</v>
      </c>
      <c r="X37" s="13" t="s">
        <v>152</v>
      </c>
      <c r="Y37" s="13" t="s">
        <v>40</v>
      </c>
      <c r="Z37" s="13" t="s">
        <v>152</v>
      </c>
      <c r="AA37" s="13" t="s">
        <v>40</v>
      </c>
    </row>
    <row r="38" spans="1:27" ht="16" thickBot="1">
      <c r="A38" s="1471"/>
      <c r="B38" s="1475"/>
      <c r="C38" s="149" t="s">
        <v>3</v>
      </c>
      <c r="D38" s="224"/>
      <c r="E38" s="212" t="s">
        <v>3</v>
      </c>
      <c r="F38" s="219"/>
      <c r="G38" s="211" t="s">
        <v>3</v>
      </c>
      <c r="H38" s="231"/>
      <c r="I38" s="212" t="s">
        <v>3</v>
      </c>
      <c r="J38" s="219"/>
      <c r="K38" s="211" t="s">
        <v>3</v>
      </c>
      <c r="L38" s="219"/>
      <c r="P38" s="1471"/>
      <c r="Q38" s="1472"/>
      <c r="R38" s="149" t="s">
        <v>3</v>
      </c>
      <c r="S38" s="220"/>
      <c r="T38" s="150" t="s">
        <v>3</v>
      </c>
      <c r="U38" s="257"/>
      <c r="V38" s="150" t="s">
        <v>3</v>
      </c>
      <c r="W38" s="257"/>
      <c r="X38" s="150" t="s">
        <v>3</v>
      </c>
      <c r="Y38" s="257"/>
      <c r="Z38" s="150" t="s">
        <v>3</v>
      </c>
      <c r="AA38" s="257"/>
    </row>
    <row r="39" spans="1:27" ht="16" thickBot="1">
      <c r="A39" s="32" t="s">
        <v>60</v>
      </c>
      <c r="B39" s="133" t="s">
        <v>57</v>
      </c>
      <c r="C39" s="234">
        <f>'[18]Lode 60+20min'!$T$3</f>
        <v>1108.9157479531721</v>
      </c>
      <c r="D39" s="225"/>
      <c r="E39" s="247">
        <f>'[18]Lode 60+20min'!$T$4</f>
        <v>811.7179123270198</v>
      </c>
      <c r="F39" s="229">
        <f>'[18]60min + sprinter + 20min'!$G$5</f>
        <v>17</v>
      </c>
      <c r="G39" s="227">
        <f>'[18]Lode 60+20min'!$T$5</f>
        <v>782.57921426270968</v>
      </c>
      <c r="H39" s="251">
        <f>'[18]60min + sprinter + 20min'!$H$5</f>
        <v>17</v>
      </c>
      <c r="I39" s="247">
        <f>'[18]Lode 60+20min'!$T$6</f>
        <v>761.20235187026947</v>
      </c>
      <c r="J39" s="229">
        <f>'[18]60min + sprinter + 20min'!$I$5</f>
        <v>18</v>
      </c>
      <c r="K39" s="227">
        <f>'[18]Lode 60+20min'!$T$7</f>
        <v>740.37702799845295</v>
      </c>
      <c r="L39" s="254">
        <f>'[18]60min + sprinter + 20min'!$J$5</f>
        <v>18</v>
      </c>
      <c r="P39" s="89" t="s">
        <v>61</v>
      </c>
      <c r="Q39" s="133" t="s">
        <v>58</v>
      </c>
      <c r="R39" s="258">
        <f>'[19]Lode 60+20min'!$T$3</f>
        <v>1197.0520138886163</v>
      </c>
      <c r="S39" s="856"/>
      <c r="T39" s="259">
        <f>'[19]Lode 60+20min'!$T$4</f>
        <v>764.34127326192356</v>
      </c>
      <c r="U39" s="10">
        <f>'[19]60min + sprinter + 20min'!$G$5</f>
        <v>20</v>
      </c>
      <c r="V39" s="259">
        <f>'[19]Lode 60+20min'!$T$5</f>
        <v>723.39469852029754</v>
      </c>
      <c r="W39" s="260">
        <f>'[19]60min + sprinter + 20min'!$H$5</f>
        <v>20</v>
      </c>
      <c r="X39" s="259">
        <f>'[19]Lode 60+20min'!$T$6</f>
        <v>677.28853346341486</v>
      </c>
      <c r="Y39" s="10">
        <f>'[19]60min + sprinter + 20min'!$I$5</f>
        <v>20</v>
      </c>
      <c r="Z39" s="259">
        <f>'[19]Lode 60+20min'!$T$7</f>
        <v>637.12238733500965</v>
      </c>
      <c r="AA39" s="261">
        <f>'[19]60min + sprinter + 20min'!$J$5</f>
        <v>20</v>
      </c>
    </row>
    <row r="40" spans="1:27" ht="16" thickBot="1">
      <c r="A40" s="32" t="s">
        <v>60</v>
      </c>
      <c r="B40" s="134" t="s">
        <v>59</v>
      </c>
      <c r="C40" s="235">
        <f>'[20]Lode 60+20min'!$T$3</f>
        <v>1147.6916791118565</v>
      </c>
      <c r="D40" s="226"/>
      <c r="E40" s="248">
        <f>'[20]Lode 60+20min'!$T$4</f>
        <v>722.09505211546002</v>
      </c>
      <c r="F40" s="11">
        <f>'[20]60min + sprinter + 20min'!$G$5</f>
        <v>19</v>
      </c>
      <c r="G40" s="228">
        <f>'[20]Lode 60+20min'!$T$5</f>
        <v>696.57691681749623</v>
      </c>
      <c r="H40" s="252">
        <f>'[20]60min + sprinter + 20min'!$H$5</f>
        <v>20</v>
      </c>
      <c r="I40" s="248">
        <f>'[20]Lode 60+20min'!$T$6</f>
        <v>664.28057379040615</v>
      </c>
      <c r="J40" s="11">
        <f>'[20]60min + sprinter + 20min'!$I$5</f>
        <v>20</v>
      </c>
      <c r="K40" s="228">
        <f>'[20]Lode 60+20min'!$T$7</f>
        <v>667.1329479381186</v>
      </c>
      <c r="L40" s="255">
        <f>'[20]60min + sprinter + 20min'!$J$5</f>
        <v>20</v>
      </c>
      <c r="P40" s="32" t="s">
        <v>61</v>
      </c>
      <c r="Q40" s="133" t="s">
        <v>63</v>
      </c>
      <c r="R40" s="234">
        <f>'[21]Lode 60+20min'!$T$3</f>
        <v>1268.9778377457692</v>
      </c>
      <c r="S40" s="856"/>
      <c r="T40" s="222">
        <f>'[21]Lode 60+20min'!$T$4</f>
        <v>783.86075393995611</v>
      </c>
      <c r="U40" s="9">
        <f>'[21]60min + sprinter + 20min'!$G$5</f>
        <v>20</v>
      </c>
      <c r="V40" s="222">
        <f>'[21]Lode 60+20min'!$T$5</f>
        <v>758.80061586256056</v>
      </c>
      <c r="W40" s="246">
        <f>'[21]60min + sprinter + 20min'!$H$5</f>
        <v>20</v>
      </c>
      <c r="X40" s="222">
        <f>'[21]Lode 60+20min'!$T$6</f>
        <v>693.13743601270551</v>
      </c>
      <c r="Y40" s="9">
        <f>'[21]60min + sprinter + 20min'!$I$5</f>
        <v>19</v>
      </c>
      <c r="Z40" s="222">
        <f>'[21]Lode 60+20min'!$T$7</f>
        <v>715.34824869150691</v>
      </c>
      <c r="AA40" s="255">
        <f>'[21]60min + sprinter + 20min'!$J$5</f>
        <v>20</v>
      </c>
    </row>
    <row r="41" spans="1:27" ht="16" thickBot="1">
      <c r="A41" s="32" t="s">
        <v>60</v>
      </c>
      <c r="B41" s="133" t="s">
        <v>62</v>
      </c>
      <c r="C41" s="237">
        <f>'[22]Lode 60+20min 20.10.18'!$T$3</f>
        <v>907.69732666015625</v>
      </c>
      <c r="D41" s="223"/>
      <c r="E41" s="237">
        <f>'[22]Lode 60+20min 20.10.18'!$T$4</f>
        <v>412.81903076171875</v>
      </c>
      <c r="F41" s="271">
        <f>'[22]60min + sprinter + 20min 20.10.'!$G$5</f>
        <v>20</v>
      </c>
      <c r="G41" s="237">
        <f>'[22]Lode 60+20min 20.10.18'!$T$5</f>
        <v>380.36309814453125</v>
      </c>
      <c r="H41" s="272">
        <f>'[22]60min + sprinter + 20min 20.10.'!$H$5</f>
        <v>20</v>
      </c>
      <c r="I41" s="237">
        <f>'[22]Lode 60+20min 20.10.18'!$T$6</f>
        <v>334.29107666015625</v>
      </c>
      <c r="J41" s="271">
        <f>'[22]60min + sprinter + 20min 20.10.'!$I$5</f>
        <v>20</v>
      </c>
      <c r="K41" s="237">
        <f>'[22]Lode 60+20min 20.10.18'!$T$7</f>
        <v>371.9652099609375</v>
      </c>
      <c r="L41" s="272">
        <f>'[22]60min + sprinter + 20min 20.10.'!$J$5</f>
        <v>20</v>
      </c>
      <c r="M41" t="s">
        <v>163</v>
      </c>
      <c r="P41" s="32" t="s">
        <v>61</v>
      </c>
      <c r="Q41" s="133" t="s">
        <v>65</v>
      </c>
      <c r="R41" s="234">
        <f>'[23]Lode 60+20min'!$T$3</f>
        <v>1170.9140069351236</v>
      </c>
      <c r="S41" s="856"/>
      <c r="T41" s="222">
        <f>'[23]Lode 60+20min'!$T$4</f>
        <v>760.82331727150552</v>
      </c>
      <c r="U41" s="9">
        <f>'[23]60min + sprinter + 20min'!$G$5</f>
        <v>19</v>
      </c>
      <c r="V41" s="222">
        <f>'[23]Lode 60+20min'!$T$5</f>
        <v>770.88845198720389</v>
      </c>
      <c r="W41" s="246">
        <f>'[23]60min + sprinter + 20min'!$H$5</f>
        <v>19</v>
      </c>
      <c r="X41" s="222">
        <f>'[23]Lode 60+20min'!$T$6</f>
        <v>770.88550759773136</v>
      </c>
      <c r="Y41" s="9">
        <f>'[23]60min + sprinter + 20min'!$I$5</f>
        <v>19</v>
      </c>
      <c r="Z41" s="222">
        <f>'[23]Lode 60+20min'!$T$7</f>
        <v>744.97156309783725</v>
      </c>
      <c r="AA41" s="255">
        <f>'[23]60min + sprinter + 20min'!$J$5</f>
        <v>19</v>
      </c>
    </row>
    <row r="42" spans="1:27" ht="16" thickBot="1">
      <c r="A42" s="32" t="s">
        <v>60</v>
      </c>
      <c r="B42" s="133" t="s">
        <v>64</v>
      </c>
      <c r="C42" s="234">
        <f>'[24]Lode 60+20min'!$T$3</f>
        <v>1157.8415479647858</v>
      </c>
      <c r="D42" s="225"/>
      <c r="E42" s="248">
        <f>'[24]Lode 60+20min'!$T$4</f>
        <v>685.00344145962754</v>
      </c>
      <c r="F42" s="11">
        <f>'[24]60min + sprinter + 20min'!$G$5</f>
        <v>20</v>
      </c>
      <c r="G42" s="228">
        <f>'[24]Lode 60+20min'!$T$5</f>
        <v>621.57673231394301</v>
      </c>
      <c r="H42" s="252">
        <f>'[24]60min + sprinter + 20min'!$H$5</f>
        <v>20</v>
      </c>
      <c r="I42" s="249"/>
      <c r="J42" s="244"/>
      <c r="K42" s="228">
        <f>'[24]Lode 60+20min'!$T$7</f>
        <v>455.62916589001406</v>
      </c>
      <c r="L42" s="255">
        <f>'[24]60min + sprinter + 20min'!$J$5</f>
        <v>19</v>
      </c>
      <c r="M42" t="s">
        <v>164</v>
      </c>
      <c r="P42" s="33" t="s">
        <v>61</v>
      </c>
      <c r="Q42" s="133" t="s">
        <v>66</v>
      </c>
      <c r="R42" s="234">
        <f>'[25]Lode 60+20min'!$T$3</f>
        <v>1412.1100837004465</v>
      </c>
      <c r="S42" s="856"/>
      <c r="T42" s="222">
        <f>'[25]Lode 60+20min'!$T$4</f>
        <v>760.39602271454226</v>
      </c>
      <c r="U42" s="9">
        <f>'[25]60min + sprinter + 20min'!$G$5</f>
        <v>17</v>
      </c>
      <c r="V42" s="222">
        <f>'[25]Lode 60+20min'!$T$5</f>
        <v>782.97388912945291</v>
      </c>
      <c r="W42" s="246">
        <f>'[25]60min + sprinter + 20min'!$H$5</f>
        <v>17</v>
      </c>
      <c r="X42" s="222">
        <f>'[25]Lode 60+20min'!$T$6</f>
        <v>768.3098797594821</v>
      </c>
      <c r="Y42" s="9">
        <f>'[25]60min + sprinter + 20min'!$I$5</f>
        <v>18</v>
      </c>
      <c r="Z42" s="222">
        <f>'[25]Lode 60+20min'!$T$7</f>
        <v>738.70803942977011</v>
      </c>
      <c r="AA42" s="255">
        <f>'[25]60min + sprinter + 20min'!$J$5</f>
        <v>18</v>
      </c>
    </row>
    <row r="43" spans="1:27" ht="16" thickBot="1">
      <c r="A43" s="33" t="s">
        <v>60</v>
      </c>
      <c r="B43" s="133" t="s">
        <v>67</v>
      </c>
      <c r="C43" s="234">
        <f>'[26]Lode 60+20min'!$T$3</f>
        <v>1029.0945540620912</v>
      </c>
      <c r="D43" s="225"/>
      <c r="E43" s="248">
        <f>'[26]Lode 60+20min'!$T$4</f>
        <v>700.39051632348037</v>
      </c>
      <c r="F43" s="11">
        <f>'[26]60min + sprinter + 20min'!$G$5</f>
        <v>19</v>
      </c>
      <c r="G43" s="228">
        <f>'[26]Lode 60+20min'!$T$5</f>
        <v>687.26091777414149</v>
      </c>
      <c r="H43" s="252">
        <f>'[26]60min + sprinter + 20min'!$H$5</f>
        <v>20</v>
      </c>
      <c r="I43" s="248">
        <f>'[26]Lode 60+20min'!$T$6</f>
        <v>652.93750067388976</v>
      </c>
      <c r="J43" s="11">
        <f>'[26]60min + sprinter + 20min'!$I$5</f>
        <v>20</v>
      </c>
      <c r="K43" s="228">
        <f>'[26]Lode 60+20min'!$T$7</f>
        <v>697.42588053274426</v>
      </c>
      <c r="L43" s="255">
        <f>'[26]60min + sprinter + 20min'!$J$5</f>
        <v>20</v>
      </c>
      <c r="P43" s="32" t="s">
        <v>61</v>
      </c>
      <c r="Q43" s="133" t="s">
        <v>69</v>
      </c>
      <c r="R43" s="234">
        <f>'[27]Lode 60+20min'!$T$3</f>
        <v>882.73512124728722</v>
      </c>
      <c r="S43" s="856"/>
      <c r="T43" s="222">
        <f>'[27]Lode 60+20min'!$T$4</f>
        <v>604.36371952214552</v>
      </c>
      <c r="U43" s="9">
        <f>'[27]60min + sprinter + 20min'!$G$5</f>
        <v>17</v>
      </c>
      <c r="V43" s="222">
        <f>'[27]Lode 60+20min'!$T$5</f>
        <v>611.21863073904308</v>
      </c>
      <c r="W43" s="246">
        <f>'[27]60min + sprinter + 20min'!$H$5</f>
        <v>18</v>
      </c>
      <c r="X43" s="222">
        <f>'[27]Lode 60+20min'!$T$6</f>
        <v>625.06053997605613</v>
      </c>
      <c r="Y43" s="9">
        <f>'[27]60min + sprinter + 20min'!$I$5</f>
        <v>18</v>
      </c>
      <c r="Z43" s="222">
        <f>'[27]Lode 60+20min'!$T$7</f>
        <v>614.78189133314515</v>
      </c>
      <c r="AA43" s="255">
        <f>'[27]60min + sprinter + 20min'!$J$5</f>
        <v>18</v>
      </c>
    </row>
    <row r="44" spans="1:27" ht="16" thickBot="1">
      <c r="A44" s="32" t="s">
        <v>60</v>
      </c>
      <c r="B44" s="133" t="s">
        <v>68</v>
      </c>
      <c r="C44" s="234">
        <f>'[28]Lode 60+20min'!$T$3</f>
        <v>1064.5580944883316</v>
      </c>
      <c r="D44" s="225"/>
      <c r="E44" s="248">
        <f>'[28]Lode 60+20min'!$T$4</f>
        <v>762.2804473274216</v>
      </c>
      <c r="F44" s="11">
        <f>'[28]60min + sprinter + 20min'!$G$5</f>
        <v>16</v>
      </c>
      <c r="G44" s="228">
        <f>'[28]Lode 60+20min'!$T$5</f>
        <v>696.67473309628849</v>
      </c>
      <c r="H44" s="252">
        <f>'[28]60min + sprinter + 20min'!$H$5</f>
        <v>19</v>
      </c>
      <c r="I44" s="248">
        <f>'[28]Lode 60+20min'!$T$6</f>
        <v>681.42739892490124</v>
      </c>
      <c r="J44" s="11">
        <f>'[28]60min + sprinter + 20min'!$I$5</f>
        <v>20</v>
      </c>
      <c r="K44" s="228">
        <f>'[28]Lode 60+20min'!$T$7</f>
        <v>637.91674814863688</v>
      </c>
      <c r="L44" s="255">
        <f>'[28]60min + sprinter + 20min'!$J$5</f>
        <v>20</v>
      </c>
      <c r="P44" s="32" t="s">
        <v>61</v>
      </c>
      <c r="Q44" s="133" t="s">
        <v>70</v>
      </c>
      <c r="R44" s="234">
        <f>'[29]Lode 60+20min'!$T$3</f>
        <v>666.82703735072209</v>
      </c>
      <c r="S44" s="856"/>
      <c r="T44" s="222">
        <f>'[29]Lode 60+20min'!$T$4</f>
        <v>573.52548536543054</v>
      </c>
      <c r="U44" s="9">
        <f>'[29]60min + sprinter + 20min'!$G$5</f>
        <v>20</v>
      </c>
      <c r="V44" s="222">
        <f>'[29]Lode 60+20min'!$T$5</f>
        <v>567.81241205559263</v>
      </c>
      <c r="W44" s="246">
        <f>'[29]60min + sprinter + 20min'!$H$5</f>
        <v>20</v>
      </c>
      <c r="X44" s="222">
        <f>'[29]Lode 60+20min'!$T$6</f>
        <v>583.25864118130607</v>
      </c>
      <c r="Y44" s="9">
        <f>'[29]60min + sprinter + 20min'!$I$5</f>
        <v>20</v>
      </c>
      <c r="Z44" s="222">
        <f>'[29]Lode 60+20min'!$T$7</f>
        <v>570.2369054418574</v>
      </c>
      <c r="AA44" s="255">
        <f>'[29]60min + sprinter + 20min'!$J$5</f>
        <v>20</v>
      </c>
    </row>
    <row r="45" spans="1:27" ht="16" thickBot="1">
      <c r="A45" s="32" t="s">
        <v>60</v>
      </c>
      <c r="B45" s="133" t="s">
        <v>71</v>
      </c>
      <c r="C45" s="234">
        <f>'[30]Lode 60+20min'!$T$3</f>
        <v>1248.4897650780085</v>
      </c>
      <c r="D45" s="225"/>
      <c r="E45" s="248">
        <f>'[30]Lode 60+20min'!$T$4</f>
        <v>805.46894083850327</v>
      </c>
      <c r="F45" s="11">
        <f>'[30]60min + sprinter + 20min'!$G$5</f>
        <v>17</v>
      </c>
      <c r="G45" s="228">
        <f>'[30]Lode 60+20min'!$T$5</f>
        <v>801.18385366857717</v>
      </c>
      <c r="H45" s="252">
        <f>'[30]60min + sprinter + 20min'!$H$5</f>
        <v>17</v>
      </c>
      <c r="I45" s="248">
        <f>'[30]Lode 60+20min'!$T$6</f>
        <v>758.12282346002019</v>
      </c>
      <c r="J45" s="11">
        <f>'[30]60min + sprinter + 20min'!$I$5</f>
        <v>18</v>
      </c>
      <c r="K45" s="228">
        <f>'[30]Lode 60+20min'!$T$7</f>
        <v>724.5068346942802</v>
      </c>
      <c r="L45" s="255">
        <f>'[30]60min + sprinter + 20min'!$J$5</f>
        <v>18</v>
      </c>
      <c r="P45" s="53" t="s">
        <v>61</v>
      </c>
      <c r="Q45" s="133" t="s">
        <v>74</v>
      </c>
      <c r="R45" s="236">
        <f>'[31]Lode 60+20min'!$T$3</f>
        <v>984.641593539106</v>
      </c>
      <c r="S45" s="856"/>
      <c r="T45" s="262">
        <f>'[31]Lode 60+20min'!$T$4</f>
        <v>629.75366558374537</v>
      </c>
      <c r="U45" s="263">
        <f>'[31]60min + sprinter + 20min'!$G$5</f>
        <v>20</v>
      </c>
      <c r="V45" s="262">
        <f>'[31]Lode 60+20min'!$T$5</f>
        <v>594.42657433093439</v>
      </c>
      <c r="W45" s="264">
        <f>'[31]60min + sprinter + 20min'!$H$5</f>
        <v>20</v>
      </c>
      <c r="X45" s="262">
        <f>'[31]Lode 60+20min'!$T$6</f>
        <v>611.63480193720216</v>
      </c>
      <c r="Y45" s="263">
        <f>'[31]60min + sprinter + 20min'!$I$5</f>
        <v>20</v>
      </c>
      <c r="Z45" s="262">
        <f>'[31]Lode 60+20min'!$T$7</f>
        <v>583.32895591122917</v>
      </c>
      <c r="AA45" s="256">
        <f>'[31]60min + sprinter + 20min'!$J$5</f>
        <v>20</v>
      </c>
    </row>
    <row r="46" spans="1:27" ht="16" thickBot="1">
      <c r="A46" s="32" t="s">
        <v>60</v>
      </c>
      <c r="B46" s="133" t="s">
        <v>72</v>
      </c>
      <c r="C46" s="234">
        <f>'[32]Lode 60+20min'!$T$3</f>
        <v>1087.9448191364752</v>
      </c>
      <c r="D46" s="225"/>
      <c r="E46" s="248">
        <f>'[32]Lode 60+20min'!$T$5</f>
        <v>728.27448153565592</v>
      </c>
      <c r="F46" s="11">
        <f>'[32]60min + sprinter + 20min'!$G$5</f>
        <v>15</v>
      </c>
      <c r="G46" s="228">
        <f>'[32]Lode 60+20min'!$T$6</f>
        <v>720.89119759219545</v>
      </c>
      <c r="H46" s="252">
        <f>'[32]60min + sprinter + 20min'!$H$5</f>
        <v>17</v>
      </c>
      <c r="I46" s="248">
        <f>'[32]Lode 60+20min'!$T$7</f>
        <v>689.15803490224482</v>
      </c>
      <c r="J46" s="11">
        <f>'[32]60min + sprinter + 20min'!$I$5</f>
        <v>17</v>
      </c>
      <c r="K46" s="228">
        <f>'[32]Lode 60+20min'!$T$8</f>
        <v>673.95549759176731</v>
      </c>
      <c r="L46" s="255">
        <f>'[32]60min + sprinter + 20min'!$J$5</f>
        <v>18</v>
      </c>
      <c r="Q46" s="16" t="s">
        <v>76</v>
      </c>
      <c r="R46" s="124">
        <f>AVERAGE(R39:R45)</f>
        <v>1083.3225277724387</v>
      </c>
      <c r="S46" s="124"/>
      <c r="T46" s="124">
        <f>AVERAGE(T39:T45)</f>
        <v>696.72346252274986</v>
      </c>
      <c r="U46" s="124">
        <f t="shared" ref="U46" si="19">AVERAGE(U39:U45)</f>
        <v>19</v>
      </c>
      <c r="V46" s="124">
        <f t="shared" ref="V46" si="20">AVERAGE(V39:V45)</f>
        <v>687.07361037501209</v>
      </c>
      <c r="W46" s="124">
        <f t="shared" ref="W46" si="21">AVERAGE(W39:W45)</f>
        <v>19.142857142857142</v>
      </c>
      <c r="X46" s="124">
        <f t="shared" ref="X46" si="22">AVERAGE(X39:X45)</f>
        <v>675.65361998969979</v>
      </c>
      <c r="Y46" s="124">
        <f t="shared" ref="Y46" si="23">AVERAGE(Y39:Y45)</f>
        <v>19.142857142857142</v>
      </c>
      <c r="Z46" s="124">
        <f t="shared" ref="Z46" si="24">AVERAGE(Z39:Z45)</f>
        <v>657.78542732005087</v>
      </c>
      <c r="AA46" s="124">
        <f t="shared" ref="AA46" si="25">AVERAGE(AA39:AA45)</f>
        <v>19.285714285714285</v>
      </c>
    </row>
    <row r="47" spans="1:27" ht="16" thickBot="1">
      <c r="A47" s="53" t="s">
        <v>60</v>
      </c>
      <c r="B47" s="133" t="s">
        <v>73</v>
      </c>
      <c r="C47" s="236">
        <f>'[33]Lode 60+20min'!$T$3</f>
        <v>996.06488989408342</v>
      </c>
      <c r="D47" s="232"/>
      <c r="E47" s="250">
        <f>'[33]Lode 60+20min'!$T$4</f>
        <v>621.50539508738564</v>
      </c>
      <c r="F47" s="230">
        <f>'[33]60min + sprinter + 20min'!$G$5</f>
        <v>18</v>
      </c>
      <c r="G47" s="233">
        <f>'[33]Lode 60+20min'!$T$5</f>
        <v>633.3051603863122</v>
      </c>
      <c r="H47" s="253">
        <f>'[33]60min + sprinter + 20min'!$H$5</f>
        <v>19</v>
      </c>
      <c r="I47" s="250">
        <f>'[33]Lode 60+20min'!$T$6</f>
        <v>677.39429706481974</v>
      </c>
      <c r="J47" s="230">
        <f>'[33]60min + sprinter + 20min'!$I$5</f>
        <v>20</v>
      </c>
      <c r="K47" s="233">
        <f>'[33]Lode 60+20min'!$T$7</f>
        <v>708.19915305052939</v>
      </c>
      <c r="L47" s="256">
        <f>'[33]60min + sprinter + 20min'!$J$5</f>
        <v>20</v>
      </c>
      <c r="Q47" s="16" t="s">
        <v>13</v>
      </c>
      <c r="R47" s="124">
        <f>STDEVA(R39:R45)</f>
        <v>253.84297714264176</v>
      </c>
      <c r="S47" s="124"/>
      <c r="T47" s="124">
        <f t="shared" ref="T47:AA47" si="26">STDEVA(T39:T45)</f>
        <v>89.926895855947862</v>
      </c>
      <c r="U47" s="124">
        <f t="shared" si="26"/>
        <v>1.4142135623730951</v>
      </c>
      <c r="V47" s="124">
        <f t="shared" si="26"/>
        <v>92.417946081767667</v>
      </c>
      <c r="W47" s="124">
        <f t="shared" si="26"/>
        <v>1.2149857925879117</v>
      </c>
      <c r="X47" s="124">
        <f t="shared" si="26"/>
        <v>74.338810608161239</v>
      </c>
      <c r="Y47" s="124">
        <f t="shared" si="26"/>
        <v>0.89973541084243724</v>
      </c>
      <c r="Z47" s="124">
        <f t="shared" si="26"/>
        <v>74.103694209840612</v>
      </c>
      <c r="AA47" s="124">
        <f t="shared" si="26"/>
        <v>0.95118973121134176</v>
      </c>
    </row>
    <row r="48" spans="1:27">
      <c r="B48" s="16" t="s">
        <v>76</v>
      </c>
      <c r="C48" s="124">
        <f>AVERAGE(C39:C47)</f>
        <v>1083.1442693721067</v>
      </c>
      <c r="D48" s="124"/>
      <c r="E48" s="124">
        <f>AVERAGE(E39:E47)</f>
        <v>694.39502419736357</v>
      </c>
      <c r="F48" s="124">
        <f t="shared" ref="F48:L48" si="27">AVERAGE(F39:F47)</f>
        <v>17.888888888888889</v>
      </c>
      <c r="G48" s="124">
        <f t="shared" si="27"/>
        <v>668.93464711735498</v>
      </c>
      <c r="H48" s="124">
        <f t="shared" si="27"/>
        <v>18.777777777777779</v>
      </c>
      <c r="I48" s="124">
        <f t="shared" si="27"/>
        <v>652.35175716833851</v>
      </c>
      <c r="J48" s="124">
        <f t="shared" si="27"/>
        <v>19.125</v>
      </c>
      <c r="K48" s="124">
        <f t="shared" si="27"/>
        <v>630.78982953394234</v>
      </c>
      <c r="L48" s="124">
        <f t="shared" si="27"/>
        <v>19.222222222222221</v>
      </c>
      <c r="Q48" s="16" t="s">
        <v>14</v>
      </c>
      <c r="R48" s="124">
        <f>R47/SQRT(COUNT(R39:R45))</f>
        <v>95.943627082811901</v>
      </c>
      <c r="S48" s="124"/>
      <c r="T48" s="124">
        <f t="shared" ref="T48" si="28">T47/SQRT(COUNT(T39:T45))</f>
        <v>33.989171801548991</v>
      </c>
      <c r="U48" s="124">
        <f t="shared" ref="U48" si="29">U47/SQRT(COUNT(U39:U45))</f>
        <v>0.53452248382484879</v>
      </c>
      <c r="V48" s="124">
        <f t="shared" ref="V48" si="30">V47/SQRT(COUNT(V39:V45))</f>
        <v>34.930700287390493</v>
      </c>
      <c r="W48" s="124">
        <f t="shared" ref="W48" si="31">W47/SQRT(COUNT(W39:W45))</f>
        <v>0.4592214648091883</v>
      </c>
      <c r="X48" s="124">
        <f t="shared" ref="X48" si="32">X47/SQRT(COUNT(X39:X45))</f>
        <v>28.097429375646414</v>
      </c>
      <c r="Y48" s="124">
        <f t="shared" ref="Y48" si="33">Y47/SQRT(COUNT(Y39:Y45))</f>
        <v>0.34006802040680234</v>
      </c>
      <c r="Z48" s="124">
        <f t="shared" ref="Z48" si="34">Z47/SQRT(COUNT(Z39:Z45))</f>
        <v>28.008563730059329</v>
      </c>
      <c r="AA48" s="124">
        <f t="shared" ref="AA48" si="35">AA47/SQRT(COUNT(AA39:AA45))</f>
        <v>0.35951592548908329</v>
      </c>
    </row>
    <row r="49" spans="2:26">
      <c r="B49" s="16" t="s">
        <v>13</v>
      </c>
      <c r="C49" s="124">
        <f>STDEVA(C39:C47)</f>
        <v>99.626593167274095</v>
      </c>
      <c r="D49" s="124"/>
      <c r="E49" s="124">
        <f t="shared" ref="E49:L49" si="36">STDEVA(E39:E47)</f>
        <v>121.11342862687138</v>
      </c>
      <c r="F49" s="124">
        <f t="shared" si="36"/>
        <v>1.7638342073763935</v>
      </c>
      <c r="G49" s="124">
        <f t="shared" si="36"/>
        <v>123.36918899619329</v>
      </c>
      <c r="H49" s="124">
        <f t="shared" si="36"/>
        <v>1.3944333775567928</v>
      </c>
      <c r="I49" s="124">
        <f t="shared" si="36"/>
        <v>134.78471220371938</v>
      </c>
      <c r="J49" s="124">
        <f t="shared" si="36"/>
        <v>1.2464234547582249</v>
      </c>
      <c r="K49" s="124">
        <f t="shared" si="36"/>
        <v>128.51611265323095</v>
      </c>
      <c r="L49" s="124">
        <f t="shared" si="36"/>
        <v>0.97182531580755005</v>
      </c>
      <c r="Q49" s="16" t="s">
        <v>99</v>
      </c>
      <c r="T49">
        <f>(T46-T12)/T13</f>
        <v>0.15395971146319515</v>
      </c>
      <c r="V49">
        <f>(V46-V12)/V13</f>
        <v>0.19626485289852785</v>
      </c>
      <c r="X49">
        <f>(X46-X12)/X13</f>
        <v>0.40176817858802777</v>
      </c>
      <c r="Z49">
        <f>(Z46-Z12)/Z13</f>
        <v>0.20456078541068046</v>
      </c>
    </row>
    <row r="50" spans="2:26">
      <c r="B50" s="16" t="s">
        <v>14</v>
      </c>
      <c r="C50" s="124">
        <f>C49/SQRT(COUNT(C39:C47))</f>
        <v>33.208864389091367</v>
      </c>
      <c r="D50" s="124"/>
      <c r="E50" s="124">
        <f t="shared" ref="E50:L50" si="37">E49/SQRT(COUNT(E39:E47))</f>
        <v>40.371142875623796</v>
      </c>
      <c r="F50" s="124">
        <f t="shared" si="37"/>
        <v>0.58794473579213113</v>
      </c>
      <c r="G50" s="124">
        <f t="shared" si="37"/>
        <v>41.123062998731093</v>
      </c>
      <c r="H50" s="124">
        <f t="shared" si="37"/>
        <v>0.46481112585226425</v>
      </c>
      <c r="I50" s="124">
        <f t="shared" si="37"/>
        <v>47.653591999763584</v>
      </c>
      <c r="J50" s="124">
        <f t="shared" si="37"/>
        <v>0.44067723854475233</v>
      </c>
      <c r="K50" s="124">
        <f t="shared" si="37"/>
        <v>42.838704217743647</v>
      </c>
      <c r="L50" s="124">
        <f t="shared" si="37"/>
        <v>0.32394177193585</v>
      </c>
    </row>
    <row r="51" spans="2:26">
      <c r="B51" s="16" t="s">
        <v>99</v>
      </c>
      <c r="C51" s="124"/>
      <c r="E51">
        <f>(E48-E14)/E15</f>
        <v>-0.79718267831224898</v>
      </c>
      <c r="G51">
        <f>(G48-G14)/G15</f>
        <v>-0.74420698965956544</v>
      </c>
      <c r="I51">
        <f>(I48-I14)/I15</f>
        <v>-1.2854729178024706</v>
      </c>
      <c r="K51">
        <f>(K48-K14)/K15</f>
        <v>-1.4695526085847919</v>
      </c>
    </row>
    <row r="52" spans="2:26">
      <c r="C52">
        <f>(C48-C14)/C49</f>
        <v>0.46911312706350788</v>
      </c>
    </row>
    <row r="53" spans="2:26">
      <c r="F53" s="142" t="s">
        <v>80</v>
      </c>
      <c r="G53" s="124">
        <f>(G39-E39)/E39*100</f>
        <v>-3.5897566903230911</v>
      </c>
      <c r="H53" s="124"/>
      <c r="I53" s="124">
        <f>(I39-E39)/E39*100</f>
        <v>-6.2232900974099659</v>
      </c>
      <c r="J53" s="124"/>
      <c r="K53" s="124">
        <f>(K39-E39)/E39*100</f>
        <v>-8.7888764366487813</v>
      </c>
      <c r="U53" s="142" t="s">
        <v>80</v>
      </c>
      <c r="V53" s="124">
        <f>(V39-T39)/T39*100</f>
        <v>-5.3571063311655687</v>
      </c>
      <c r="W53" s="124"/>
      <c r="X53" s="124">
        <f>(X39-T39)/T39*100</f>
        <v>-11.389250174467232</v>
      </c>
      <c r="Y53" s="124"/>
      <c r="Z53" s="124">
        <f>(Z39-T39)/T39*100</f>
        <v>-16.64425177303211</v>
      </c>
    </row>
    <row r="54" spans="2:26">
      <c r="G54" s="124">
        <f t="shared" ref="G54:G61" si="38">(G40-E40)/E40*100</f>
        <v>-3.5339025275419766</v>
      </c>
      <c r="H54" s="124"/>
      <c r="I54" s="124">
        <f t="shared" ref="I54:I61" si="39">(I40-E40)/E40*100</f>
        <v>-8.0064914107470671</v>
      </c>
      <c r="J54" s="124"/>
      <c r="K54" s="124">
        <f t="shared" ref="K54:K61" si="40">(K40-E40)/E40*100</f>
        <v>-7.6114777433142145</v>
      </c>
      <c r="V54" s="124">
        <f t="shared" ref="V54:V59" si="41">(V40-T40)/T40*100</f>
        <v>-3.1970140042647373</v>
      </c>
      <c r="W54" s="124"/>
      <c r="X54" s="124">
        <f t="shared" ref="X54:X59" si="42">(X40-T40)/T40*100</f>
        <v>-11.573907415474462</v>
      </c>
      <c r="Y54" s="124"/>
      <c r="Z54" s="124">
        <f t="shared" ref="Z54:Z59" si="43">(Z40-T40)/T40*100</f>
        <v>-8.7403923342355867</v>
      </c>
    </row>
    <row r="55" spans="2:26">
      <c r="G55" s="124">
        <f>(G41-E41)/E41*100</f>
        <v>-7.8620243251143211</v>
      </c>
      <c r="H55" s="124"/>
      <c r="I55" s="124">
        <f t="shared" si="39"/>
        <v>-19.022367732578985</v>
      </c>
      <c r="J55" s="124"/>
      <c r="K55" s="124">
        <f t="shared" si="40"/>
        <v>-9.8963026790211828</v>
      </c>
      <c r="V55" s="124">
        <f t="shared" si="41"/>
        <v>1.3229266883925639</v>
      </c>
      <c r="W55" s="124"/>
      <c r="X55" s="124">
        <f t="shared" si="42"/>
        <v>1.3225396879674072</v>
      </c>
      <c r="Y55" s="124"/>
      <c r="Z55" s="124">
        <f t="shared" si="43"/>
        <v>-2.0835000470958818</v>
      </c>
    </row>
    <row r="56" spans="2:26">
      <c r="G56" s="124">
        <f t="shared" si="38"/>
        <v>-9.2593270787855957</v>
      </c>
      <c r="H56" s="124"/>
      <c r="I56" s="124"/>
      <c r="J56" s="124"/>
      <c r="K56" s="124">
        <f>(K42-E42)/E42*100</f>
        <v>-33.485127473353323</v>
      </c>
      <c r="V56" s="124">
        <f t="shared" si="41"/>
        <v>2.9692246856197118</v>
      </c>
      <c r="W56" s="124"/>
      <c r="X56" s="124">
        <f t="shared" si="42"/>
        <v>1.0407546605370344</v>
      </c>
      <c r="Y56" s="124"/>
      <c r="Z56" s="124">
        <f t="shared" si="43"/>
        <v>-2.8521957817911887</v>
      </c>
    </row>
    <row r="57" spans="2:26">
      <c r="G57" s="124">
        <f t="shared" si="38"/>
        <v>-1.8746111266981917</v>
      </c>
      <c r="H57" s="124"/>
      <c r="I57" s="124">
        <f t="shared" si="39"/>
        <v>-6.7752224714125191</v>
      </c>
      <c r="J57" s="124"/>
      <c r="K57" s="124">
        <f t="shared" si="40"/>
        <v>-0.42328325721744536</v>
      </c>
      <c r="V57" s="124">
        <f t="shared" si="41"/>
        <v>1.1342360561149436</v>
      </c>
      <c r="W57" s="124"/>
      <c r="X57" s="124">
        <f t="shared" si="42"/>
        <v>3.4245636833188877</v>
      </c>
      <c r="Y57" s="124"/>
      <c r="Z57" s="124">
        <f t="shared" si="43"/>
        <v>1.723824821787286</v>
      </c>
    </row>
    <row r="58" spans="2:26">
      <c r="G58" s="124">
        <f t="shared" si="38"/>
        <v>-8.6065062354870498</v>
      </c>
      <c r="H58" s="124"/>
      <c r="I58" s="124">
        <f t="shared" si="39"/>
        <v>-10.606732559649615</v>
      </c>
      <c r="J58" s="124"/>
      <c r="K58" s="124">
        <f t="shared" si="40"/>
        <v>-16.314690953284664</v>
      </c>
      <c r="V58" s="124">
        <f t="shared" si="41"/>
        <v>-0.99613242229292343</v>
      </c>
      <c r="W58" s="124"/>
      <c r="X58" s="124">
        <f t="shared" si="42"/>
        <v>1.6970746835555015</v>
      </c>
      <c r="Y58" s="124"/>
      <c r="Z58" s="124">
        <f t="shared" si="43"/>
        <v>-0.57339734806689002</v>
      </c>
    </row>
    <row r="59" spans="2:26" ht="16" thickBot="1">
      <c r="G59" s="124">
        <f t="shared" si="38"/>
        <v>-0.53199905702947048</v>
      </c>
      <c r="H59" s="124"/>
      <c r="I59" s="124">
        <f t="shared" si="39"/>
        <v>-5.8780810752547676</v>
      </c>
      <c r="J59" s="124"/>
      <c r="K59" s="124">
        <f t="shared" si="40"/>
        <v>-10.051549108763959</v>
      </c>
      <c r="U59" s="269"/>
      <c r="V59" s="274">
        <f t="shared" si="41"/>
        <v>-5.6096682216315186</v>
      </c>
      <c r="W59" s="274"/>
      <c r="X59" s="274">
        <f t="shared" si="42"/>
        <v>-2.8771350826117188</v>
      </c>
      <c r="Y59" s="274"/>
      <c r="Z59" s="274">
        <f t="shared" si="43"/>
        <v>-7.3718839936379208</v>
      </c>
    </row>
    <row r="60" spans="2:26">
      <c r="G60" s="124">
        <f t="shared" si="38"/>
        <v>-1.013805114781986</v>
      </c>
      <c r="H60" s="124"/>
      <c r="I60" s="124">
        <f t="shared" si="39"/>
        <v>-5.3711131757533623</v>
      </c>
      <c r="J60" s="124"/>
      <c r="K60" s="124">
        <f t="shared" si="40"/>
        <v>-7.4585867445678424</v>
      </c>
      <c r="M60" t="s">
        <v>100</v>
      </c>
      <c r="U60" s="16" t="s">
        <v>76</v>
      </c>
      <c r="V60" s="179">
        <f t="shared" ref="V60" si="44">AVERAGE(V51:V59)</f>
        <v>-1.3905047927467895</v>
      </c>
      <c r="W60" s="179"/>
      <c r="X60" s="179">
        <f t="shared" ref="X60" si="45">AVERAGE(X51:X59)</f>
        <v>-2.6221942795963691</v>
      </c>
      <c r="Y60" s="179"/>
      <c r="Z60" s="179">
        <f t="shared" ref="Z60" si="46">AVERAGE(Z51:Z59)</f>
        <v>-5.2202566365817562</v>
      </c>
    </row>
    <row r="61" spans="2:26" ht="16" thickBot="1">
      <c r="F61" s="269"/>
      <c r="G61" s="274">
        <f t="shared" si="38"/>
        <v>1.8985780963763756</v>
      </c>
      <c r="H61" s="274"/>
      <c r="I61" s="274">
        <f t="shared" si="39"/>
        <v>8.9925047182536435</v>
      </c>
      <c r="J61" s="274"/>
      <c r="K61" s="274">
        <f t="shared" si="40"/>
        <v>13.948995237757241</v>
      </c>
      <c r="M61" s="270" t="s">
        <v>168</v>
      </c>
      <c r="N61" s="142"/>
      <c r="O61" s="142"/>
      <c r="P61" s="142"/>
      <c r="U61" s="16" t="s">
        <v>13</v>
      </c>
      <c r="V61" s="179">
        <f t="shared" ref="V61" si="47">STDEVA(V51:V59)</f>
        <v>3.4082874679078978</v>
      </c>
      <c r="W61" s="142"/>
      <c r="X61" s="179">
        <f t="shared" ref="X61" si="48">STDEVA(X51:X59)</f>
        <v>6.3410950578335497</v>
      </c>
      <c r="Y61" s="142"/>
      <c r="Z61" s="179">
        <f t="shared" ref="Z61" si="49">STDEVA(Z51:Z59)</f>
        <v>6.2288180145803844</v>
      </c>
    </row>
    <row r="62" spans="2:26">
      <c r="F62" s="142" t="s">
        <v>76</v>
      </c>
      <c r="G62" s="179">
        <f t="shared" ref="G62" si="50">AVERAGE(G53:G61)</f>
        <v>-3.819261562153923</v>
      </c>
      <c r="H62" s="142"/>
      <c r="I62" s="179">
        <f t="shared" ref="I62" si="51">AVERAGE(I53:I61)</f>
        <v>-6.6113492255690804</v>
      </c>
      <c r="J62" s="142"/>
      <c r="K62" s="179">
        <f t="shared" ref="K62" si="52">AVERAGE(K53:K61)</f>
        <v>-8.8978776842682414</v>
      </c>
      <c r="U62" s="16" t="s">
        <v>14</v>
      </c>
      <c r="V62" s="179">
        <f t="shared" ref="V62" si="53">V61/SQRT(COUNT(V51:V59))</f>
        <v>1.2882115766717619</v>
      </c>
      <c r="W62" s="142"/>
      <c r="X62" s="179">
        <f t="shared" ref="X62" si="54">X61/SQRT(COUNT(X51:X59))</f>
        <v>2.3967086518354725</v>
      </c>
      <c r="Y62" s="142"/>
      <c r="Z62" s="179">
        <f t="shared" ref="Z62" si="55">Z61/SQRT(COUNT(Z51:Z59))</f>
        <v>2.3542719183512557</v>
      </c>
    </row>
    <row r="63" spans="2:26">
      <c r="F63" s="142" t="s">
        <v>13</v>
      </c>
      <c r="G63" s="179">
        <f t="shared" ref="G63" si="56">STDEVA(G53:G61)</f>
        <v>3.9392590315706464</v>
      </c>
      <c r="H63" s="142"/>
      <c r="I63" s="179">
        <f t="shared" ref="I63" si="57">STDEVA(I53:I61)</f>
        <v>7.7245107099024617</v>
      </c>
      <c r="J63" s="142"/>
      <c r="K63" s="179">
        <f t="shared" ref="K63" si="58">STDEVA(K53:K61)</f>
        <v>12.546943845970629</v>
      </c>
      <c r="U63" s="111" t="s">
        <v>100</v>
      </c>
      <c r="V63" s="124"/>
      <c r="X63" s="124"/>
      <c r="Z63" s="124"/>
    </row>
    <row r="64" spans="2:26">
      <c r="F64" s="142" t="s">
        <v>14</v>
      </c>
      <c r="G64" s="179">
        <f t="shared" ref="G64" si="59">G63/SQRT(COUNT(G53:G61))</f>
        <v>1.3130863438568821</v>
      </c>
      <c r="H64" s="142"/>
      <c r="I64" s="179">
        <f t="shared" ref="I64" si="60">I63/SQRT(COUNT(I53:I61))</f>
        <v>2.7310269521600712</v>
      </c>
      <c r="J64" s="142"/>
      <c r="K64" s="179">
        <f t="shared" ref="K64" si="61">K63/SQRT(COUNT(K53:K61))</f>
        <v>4.1823146153235431</v>
      </c>
      <c r="U64" s="111" t="s">
        <v>101</v>
      </c>
      <c r="V64" s="124"/>
      <c r="X64" s="124"/>
      <c r="Z64" s="124"/>
    </row>
    <row r="65" spans="1:29">
      <c r="F65" s="111" t="s">
        <v>100</v>
      </c>
      <c r="G65" s="117">
        <f>SQRT((((7-1)*(V1^2)+((9-1)*G15^2))/(9+7-2)))</f>
        <v>50.389512478640228</v>
      </c>
      <c r="H65" s="117"/>
      <c r="I65" s="117"/>
      <c r="J65" s="117"/>
      <c r="K65" s="117"/>
    </row>
    <row r="66" spans="1:29">
      <c r="F66" s="111" t="s">
        <v>101</v>
      </c>
      <c r="G66" s="118"/>
      <c r="H66" s="115"/>
      <c r="I66" s="115"/>
      <c r="J66" s="115"/>
      <c r="K66" s="115"/>
    </row>
    <row r="68" spans="1:29">
      <c r="G68">
        <f>TTEST(G53:G61,V53:V59,2,2)</f>
        <v>0.21620366449980818</v>
      </c>
      <c r="I68">
        <f>TTEST(I53:I61,X53:X59,2,2)</f>
        <v>0.29864540273194584</v>
      </c>
      <c r="K68">
        <f>TTEST(K53:K61,Z53:Z59,2,2)</f>
        <v>0.49125694052173807</v>
      </c>
    </row>
    <row r="71" spans="1:29" ht="16" thickBot="1">
      <c r="A71" s="554"/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  <c r="Z71" s="554"/>
      <c r="AA71" s="554"/>
      <c r="AB71" s="554"/>
    </row>
    <row r="72" spans="1:29" ht="16" thickBot="1">
      <c r="A72" s="1479" t="s">
        <v>170</v>
      </c>
      <c r="B72" s="1480"/>
      <c r="C72" s="1497" t="s">
        <v>159</v>
      </c>
      <c r="D72" s="1498"/>
      <c r="E72" s="1393" t="s">
        <v>151</v>
      </c>
      <c r="F72" s="1394"/>
      <c r="G72" s="1394" t="s">
        <v>153</v>
      </c>
      <c r="H72" s="1393"/>
      <c r="I72" s="1451" t="s">
        <v>154</v>
      </c>
      <c r="J72" s="1451"/>
      <c r="K72" s="1394" t="s">
        <v>155</v>
      </c>
      <c r="L72" s="1451"/>
      <c r="M72" s="554"/>
      <c r="N72" s="554"/>
      <c r="O72" s="554"/>
      <c r="P72" s="1479" t="s">
        <v>170</v>
      </c>
      <c r="Q72" s="1486"/>
      <c r="R72" s="1497" t="s">
        <v>159</v>
      </c>
      <c r="S72" s="1487"/>
      <c r="T72" s="1393" t="s">
        <v>151</v>
      </c>
      <c r="U72" s="1394"/>
      <c r="V72" s="1451" t="s">
        <v>153</v>
      </c>
      <c r="W72" s="1451"/>
      <c r="X72" s="1451" t="s">
        <v>154</v>
      </c>
      <c r="Y72" s="1451"/>
      <c r="Z72" s="1451" t="s">
        <v>155</v>
      </c>
      <c r="AA72" s="1451"/>
      <c r="AB72" s="554"/>
      <c r="AC72" s="855"/>
    </row>
    <row r="73" spans="1:29" ht="16" thickBot="1">
      <c r="A73" s="1481"/>
      <c r="B73" s="1482"/>
      <c r="C73" s="692" t="s">
        <v>152</v>
      </c>
      <c r="D73" s="693" t="s">
        <v>40</v>
      </c>
      <c r="E73" s="692" t="s">
        <v>152</v>
      </c>
      <c r="F73" s="692"/>
      <c r="G73" s="694" t="s">
        <v>152</v>
      </c>
      <c r="H73" s="693" t="s">
        <v>40</v>
      </c>
      <c r="I73" s="692" t="s">
        <v>152</v>
      </c>
      <c r="J73" s="692" t="s">
        <v>40</v>
      </c>
      <c r="K73" s="694" t="s">
        <v>152</v>
      </c>
      <c r="L73" s="692" t="s">
        <v>40</v>
      </c>
      <c r="M73" s="554"/>
      <c r="N73" s="554"/>
      <c r="O73" s="554"/>
      <c r="P73" s="1481"/>
      <c r="Q73" s="1505"/>
      <c r="R73" s="692" t="s">
        <v>152</v>
      </c>
      <c r="S73" s="692" t="s">
        <v>40</v>
      </c>
      <c r="T73" s="731" t="s">
        <v>152</v>
      </c>
      <c r="U73" s="731" t="s">
        <v>40</v>
      </c>
      <c r="V73" s="731" t="s">
        <v>152</v>
      </c>
      <c r="W73" s="731" t="s">
        <v>40</v>
      </c>
      <c r="X73" s="731" t="s">
        <v>152</v>
      </c>
      <c r="Y73" s="731" t="s">
        <v>40</v>
      </c>
      <c r="Z73" s="731" t="s">
        <v>152</v>
      </c>
      <c r="AA73" s="731" t="s">
        <v>40</v>
      </c>
      <c r="AB73" s="554"/>
      <c r="AC73" s="855"/>
    </row>
    <row r="74" spans="1:29" ht="16" thickBot="1">
      <c r="A74" s="1483"/>
      <c r="B74" s="1484"/>
      <c r="C74" s="692" t="s">
        <v>3</v>
      </c>
      <c r="D74" s="693"/>
      <c r="E74" s="692" t="s">
        <v>3</v>
      </c>
      <c r="F74" s="692"/>
      <c r="G74" s="694" t="s">
        <v>3</v>
      </c>
      <c r="H74" s="693"/>
      <c r="I74" s="692" t="s">
        <v>3</v>
      </c>
      <c r="J74" s="692"/>
      <c r="K74" s="694" t="s">
        <v>3</v>
      </c>
      <c r="L74" s="692"/>
      <c r="M74" s="554"/>
      <c r="N74" s="554"/>
      <c r="O74" s="554"/>
      <c r="P74" s="1483"/>
      <c r="Q74" s="1506"/>
      <c r="R74" s="692" t="s">
        <v>3</v>
      </c>
      <c r="S74" s="692"/>
      <c r="T74" s="731" t="s">
        <v>3</v>
      </c>
      <c r="U74" s="731"/>
      <c r="V74" s="731" t="s">
        <v>3</v>
      </c>
      <c r="W74" s="731"/>
      <c r="X74" s="731" t="s">
        <v>3</v>
      </c>
      <c r="Y74" s="731"/>
      <c r="Z74" s="731" t="s">
        <v>3</v>
      </c>
      <c r="AA74" s="731"/>
      <c r="AB74" s="554"/>
      <c r="AC74" s="855"/>
    </row>
    <row r="75" spans="1:29" ht="16" thickBot="1">
      <c r="A75" s="565" t="s">
        <v>60</v>
      </c>
      <c r="B75" s="568" t="s">
        <v>57</v>
      </c>
      <c r="C75" s="734">
        <f>C39-C5</f>
        <v>23.82028652567692</v>
      </c>
      <c r="D75" s="735"/>
      <c r="E75" s="736">
        <f>E39-E5</f>
        <v>-35.124320418434081</v>
      </c>
      <c r="F75" s="737"/>
      <c r="G75" s="736">
        <f>G39-G5</f>
        <v>-42.528363601936462</v>
      </c>
      <c r="H75" s="737"/>
      <c r="I75" s="736">
        <f>I39-I5</f>
        <v>-28.270008616314385</v>
      </c>
      <c r="J75" s="737"/>
      <c r="K75" s="736">
        <f>K39-K5</f>
        <v>-5.0961178212825189</v>
      </c>
      <c r="L75" s="737"/>
      <c r="M75" s="554"/>
      <c r="N75" s="554"/>
      <c r="O75" s="554"/>
      <c r="P75" s="567" t="s">
        <v>61</v>
      </c>
      <c r="Q75" s="568" t="s">
        <v>58</v>
      </c>
      <c r="R75" s="734">
        <f>R39-R5</f>
        <v>34.791949220936431</v>
      </c>
      <c r="S75" s="735"/>
      <c r="T75" s="736">
        <f>T39-T5</f>
        <v>-10.81256782532148</v>
      </c>
      <c r="U75" s="737"/>
      <c r="V75" s="736">
        <f>V39-V5</f>
        <v>-6.9502683000915795</v>
      </c>
      <c r="W75" s="855"/>
      <c r="X75" s="736">
        <f>X39-X5</f>
        <v>-18.862309863245855</v>
      </c>
      <c r="Y75" s="737"/>
      <c r="Z75" s="736">
        <f>Z39-Z5</f>
        <v>-29.91172199436653</v>
      </c>
      <c r="AA75" s="737"/>
      <c r="AB75" s="554"/>
      <c r="AC75" s="855"/>
    </row>
    <row r="76" spans="1:29" ht="16" thickBot="1">
      <c r="A76" s="565" t="s">
        <v>60</v>
      </c>
      <c r="B76" s="575" t="s">
        <v>59</v>
      </c>
      <c r="C76" s="707">
        <f t="shared" ref="C76:C83" si="62">C40-C6</f>
        <v>-15.14970263795999</v>
      </c>
      <c r="D76" s="708"/>
      <c r="E76" s="698">
        <f t="shared" ref="E76:E83" si="63">E40-E6</f>
        <v>-78.614787105303662</v>
      </c>
      <c r="F76" s="732"/>
      <c r="G76" s="698">
        <f t="shared" ref="G76:G83" si="64">G40-G6</f>
        <v>-48.411648144721767</v>
      </c>
      <c r="H76" s="732"/>
      <c r="I76" s="698">
        <f t="shared" ref="I76:I83" si="65">I40-I6</f>
        <v>-70.265908025964791</v>
      </c>
      <c r="J76" s="732"/>
      <c r="K76" s="698">
        <f t="shared" ref="K76:K83" si="66">K40-K6</f>
        <v>-24.631275940506839</v>
      </c>
      <c r="L76" s="732"/>
      <c r="M76" s="554"/>
      <c r="N76" s="554"/>
      <c r="O76" s="554"/>
      <c r="P76" s="565" t="s">
        <v>61</v>
      </c>
      <c r="Q76" s="568" t="s">
        <v>63</v>
      </c>
      <c r="R76" s="707">
        <f t="shared" ref="R76:R81" si="67">R40-R6</f>
        <v>16.753771623559942</v>
      </c>
      <c r="S76" s="706"/>
      <c r="T76" s="698">
        <f t="shared" ref="T76:T81" si="68">T40-T6</f>
        <v>-6.1541960050165017</v>
      </c>
      <c r="U76" s="732"/>
      <c r="V76" s="698">
        <f t="shared" ref="V76:V80" si="69">V40-V6</f>
        <v>37.639032067907124</v>
      </c>
      <c r="W76" s="855"/>
      <c r="X76" s="698">
        <f t="shared" ref="X76:X81" si="70">X40-X6</f>
        <v>128.10066390559757</v>
      </c>
      <c r="Y76" s="732"/>
      <c r="Z76" s="698">
        <f t="shared" ref="Z76:Z81" si="71">Z40-Z6</f>
        <v>68.743010824559178</v>
      </c>
      <c r="AA76" s="732"/>
      <c r="AB76" s="554"/>
      <c r="AC76" s="855"/>
    </row>
    <row r="77" spans="1:29" ht="16" thickBot="1">
      <c r="A77" s="565" t="s">
        <v>60</v>
      </c>
      <c r="B77" s="568" t="s">
        <v>62</v>
      </c>
      <c r="C77" s="707">
        <f t="shared" si="62"/>
        <v>-53.905686796599298</v>
      </c>
      <c r="D77" s="706"/>
      <c r="E77" s="698">
        <f t="shared" si="63"/>
        <v>-247.70639875962922</v>
      </c>
      <c r="F77" s="706"/>
      <c r="G77" s="698">
        <f t="shared" si="64"/>
        <v>-261.64345933460027</v>
      </c>
      <c r="H77" s="706"/>
      <c r="I77" s="698">
        <f t="shared" si="65"/>
        <v>-338.02197800548277</v>
      </c>
      <c r="J77" s="706"/>
      <c r="K77" s="698">
        <f t="shared" si="66"/>
        <v>-258.24001415404098</v>
      </c>
      <c r="L77" s="706"/>
      <c r="M77" s="554" t="s">
        <v>163</v>
      </c>
      <c r="N77" s="554"/>
      <c r="O77" s="554"/>
      <c r="P77" s="565" t="s">
        <v>61</v>
      </c>
      <c r="Q77" s="568" t="s">
        <v>65</v>
      </c>
      <c r="R77" s="707">
        <f t="shared" si="67"/>
        <v>35.957764432423801</v>
      </c>
      <c r="S77" s="706"/>
      <c r="T77" s="698">
        <f t="shared" si="68"/>
        <v>78.321096819381182</v>
      </c>
      <c r="U77" s="732"/>
      <c r="V77" s="698">
        <f t="shared" si="69"/>
        <v>80.793904888752763</v>
      </c>
      <c r="W77" s="855"/>
      <c r="X77" s="698">
        <f t="shared" si="70"/>
        <v>21.156618574701156</v>
      </c>
      <c r="Y77" s="732"/>
      <c r="Z77" s="698">
        <f t="shared" si="71"/>
        <v>-15.693048858273528</v>
      </c>
      <c r="AA77" s="732"/>
      <c r="AB77" s="554"/>
      <c r="AC77" s="855"/>
    </row>
    <row r="78" spans="1:29" ht="16" thickBot="1">
      <c r="A78" s="565" t="s">
        <v>60</v>
      </c>
      <c r="B78" s="568" t="s">
        <v>64</v>
      </c>
      <c r="C78" s="707">
        <f t="shared" si="62"/>
        <v>50.94200247120898</v>
      </c>
      <c r="D78" s="706"/>
      <c r="E78" s="698">
        <f t="shared" si="63"/>
        <v>7.9591338989249607</v>
      </c>
      <c r="F78" s="732"/>
      <c r="G78" s="698">
        <f t="shared" si="64"/>
        <v>1.9460743686794331</v>
      </c>
      <c r="H78" s="732"/>
      <c r="I78" s="698">
        <f t="shared" si="65"/>
        <v>0</v>
      </c>
      <c r="J78" s="733"/>
      <c r="K78" s="698">
        <f t="shared" si="66"/>
        <v>455.62916589001406</v>
      </c>
      <c r="L78" s="732"/>
      <c r="M78" s="554" t="s">
        <v>164</v>
      </c>
      <c r="N78" s="554"/>
      <c r="O78" s="554"/>
      <c r="P78" s="570" t="s">
        <v>61</v>
      </c>
      <c r="Q78" s="568" t="s">
        <v>66</v>
      </c>
      <c r="R78" s="707">
        <f t="shared" si="67"/>
        <v>-67.875459572717773</v>
      </c>
      <c r="S78" s="706"/>
      <c r="T78" s="698">
        <f t="shared" si="68"/>
        <v>-6.0872006969865424</v>
      </c>
      <c r="U78" s="732"/>
      <c r="V78" s="698">
        <f t="shared" si="69"/>
        <v>8.053998614205625</v>
      </c>
      <c r="W78" s="855"/>
      <c r="X78" s="698">
        <f t="shared" si="70"/>
        <v>35.724186117344743</v>
      </c>
      <c r="Y78" s="732"/>
      <c r="Z78" s="698">
        <f t="shared" si="71"/>
        <v>-10.102967704933235</v>
      </c>
      <c r="AA78" s="732"/>
      <c r="AB78" s="554"/>
      <c r="AC78" s="855"/>
    </row>
    <row r="79" spans="1:29" ht="16" thickBot="1">
      <c r="A79" s="570" t="s">
        <v>60</v>
      </c>
      <c r="B79" s="568" t="s">
        <v>67</v>
      </c>
      <c r="C79" s="707">
        <f t="shared" si="62"/>
        <v>-23.982858654686197</v>
      </c>
      <c r="D79" s="706"/>
      <c r="E79" s="698">
        <f t="shared" si="63"/>
        <v>-29.700978556562291</v>
      </c>
      <c r="F79" s="732"/>
      <c r="G79" s="698">
        <f t="shared" si="64"/>
        <v>-53.126633731650713</v>
      </c>
      <c r="H79" s="732"/>
      <c r="I79" s="698">
        <f t="shared" si="65"/>
        <v>-42.79773452085908</v>
      </c>
      <c r="J79" s="732"/>
      <c r="K79" s="698">
        <f t="shared" si="66"/>
        <v>22.301861973436075</v>
      </c>
      <c r="L79" s="732"/>
      <c r="M79" s="554"/>
      <c r="N79" s="554"/>
      <c r="O79" s="554"/>
      <c r="P79" s="565" t="s">
        <v>61</v>
      </c>
      <c r="Q79" s="568" t="s">
        <v>69</v>
      </c>
      <c r="R79" s="707">
        <f t="shared" si="67"/>
        <v>32.739548683714929</v>
      </c>
      <c r="S79" s="706"/>
      <c r="T79" s="698">
        <f t="shared" si="68"/>
        <v>-5.258670934968336</v>
      </c>
      <c r="U79" s="732"/>
      <c r="V79" s="698">
        <f t="shared" si="69"/>
        <v>19.525235996678589</v>
      </c>
      <c r="W79" s="855"/>
      <c r="X79" s="698">
        <f t="shared" si="70"/>
        <v>24.160732926892138</v>
      </c>
      <c r="Y79" s="732"/>
      <c r="Z79" s="698">
        <f t="shared" si="71"/>
        <v>9.9492462264910273</v>
      </c>
      <c r="AA79" s="732"/>
      <c r="AB79" s="554"/>
    </row>
    <row r="80" spans="1:29" ht="16" thickBot="1">
      <c r="A80" s="565" t="s">
        <v>60</v>
      </c>
      <c r="B80" s="568" t="s">
        <v>68</v>
      </c>
      <c r="C80" s="707">
        <f t="shared" si="62"/>
        <v>15.73318993237217</v>
      </c>
      <c r="D80" s="706"/>
      <c r="E80" s="698">
        <f t="shared" si="63"/>
        <v>3.3839575690105903</v>
      </c>
      <c r="F80" s="732"/>
      <c r="G80" s="698">
        <f t="shared" si="64"/>
        <v>-36.018628604611536</v>
      </c>
      <c r="H80" s="732"/>
      <c r="I80" s="698">
        <f t="shared" si="65"/>
        <v>-11.287103820501216</v>
      </c>
      <c r="J80" s="732"/>
      <c r="K80" s="698">
        <f t="shared" si="66"/>
        <v>-28.712510244399368</v>
      </c>
      <c r="L80" s="732"/>
      <c r="M80" s="554"/>
      <c r="N80" s="554"/>
      <c r="O80" s="554"/>
      <c r="P80" s="565" t="s">
        <v>61</v>
      </c>
      <c r="Q80" s="568" t="s">
        <v>70</v>
      </c>
      <c r="R80" s="707">
        <f t="shared" si="67"/>
        <v>10.769642027479335</v>
      </c>
      <c r="S80" s="706"/>
      <c r="T80" s="698">
        <f t="shared" si="68"/>
        <v>61.395149936492317</v>
      </c>
      <c r="U80" s="732"/>
      <c r="V80" s="698">
        <f t="shared" si="69"/>
        <v>51.853080636310892</v>
      </c>
      <c r="W80" s="855"/>
      <c r="X80" s="698">
        <f t="shared" si="70"/>
        <v>63.198913061698363</v>
      </c>
      <c r="Y80" s="732"/>
      <c r="Z80" s="698">
        <f t="shared" si="71"/>
        <v>78.629544848403498</v>
      </c>
      <c r="AA80" s="732"/>
      <c r="AB80" s="554"/>
    </row>
    <row r="81" spans="1:28" ht="16" thickBot="1">
      <c r="A81" s="565" t="s">
        <v>60</v>
      </c>
      <c r="B81" s="568" t="s">
        <v>71</v>
      </c>
      <c r="C81" s="707">
        <f t="shared" si="62"/>
        <v>162.69374596970169</v>
      </c>
      <c r="D81" s="706"/>
      <c r="E81" s="698">
        <f t="shared" si="63"/>
        <v>-9.3804818755540964</v>
      </c>
      <c r="F81" s="732"/>
      <c r="G81" s="698">
        <f t="shared" si="64"/>
        <v>13.822560901243946</v>
      </c>
      <c r="H81" s="732"/>
      <c r="I81" s="698">
        <f t="shared" si="65"/>
        <v>-19.959052002334943</v>
      </c>
      <c r="J81" s="732"/>
      <c r="K81" s="698">
        <f t="shared" si="66"/>
        <v>-27.700003242482694</v>
      </c>
      <c r="L81" s="732"/>
      <c r="M81" s="554"/>
      <c r="N81" s="554"/>
      <c r="O81" s="554"/>
      <c r="P81" s="571" t="s">
        <v>61</v>
      </c>
      <c r="Q81" s="568" t="s">
        <v>74</v>
      </c>
      <c r="R81" s="707">
        <f t="shared" si="67"/>
        <v>-9.4244079685415727</v>
      </c>
      <c r="S81" s="706"/>
      <c r="T81" s="698">
        <f t="shared" si="68"/>
        <v>0.17574699894271362</v>
      </c>
      <c r="U81" s="732"/>
      <c r="V81" s="698">
        <f>V45-V11</f>
        <v>-68.573425669065614</v>
      </c>
      <c r="W81" s="855"/>
      <c r="X81" s="698">
        <f t="shared" si="70"/>
        <v>-8.0012616669708905</v>
      </c>
      <c r="Y81" s="732"/>
      <c r="Z81" s="698">
        <f t="shared" si="71"/>
        <v>41.631683946967087</v>
      </c>
      <c r="AA81" s="732"/>
      <c r="AB81" s="554"/>
    </row>
    <row r="82" spans="1:28" ht="16" thickBot="1">
      <c r="A82" s="565" t="s">
        <v>60</v>
      </c>
      <c r="B82" s="568" t="s">
        <v>72</v>
      </c>
      <c r="C82" s="707">
        <f t="shared" si="62"/>
        <v>242.41044432249555</v>
      </c>
      <c r="D82" s="706"/>
      <c r="E82" s="698">
        <f t="shared" si="63"/>
        <v>14.365164610926627</v>
      </c>
      <c r="F82" s="732"/>
      <c r="G82" s="698">
        <f t="shared" si="64"/>
        <v>17.855287496987557</v>
      </c>
      <c r="H82" s="732"/>
      <c r="I82" s="698">
        <f t="shared" si="65"/>
        <v>-12.22468317661594</v>
      </c>
      <c r="J82" s="732"/>
      <c r="K82" s="698">
        <f t="shared" si="66"/>
        <v>-58.732022118506961</v>
      </c>
      <c r="L82" s="732"/>
      <c r="M82" s="554"/>
      <c r="N82" s="554"/>
      <c r="O82" s="554"/>
      <c r="P82" s="554"/>
      <c r="Q82" s="572" t="s">
        <v>76</v>
      </c>
      <c r="R82" s="574">
        <f>AVERAGE(R75:R81)</f>
        <v>7.6732583495507276</v>
      </c>
      <c r="S82" s="574"/>
      <c r="T82" s="574">
        <f>AVERAGE(T75:T81)</f>
        <v>15.939908327503336</v>
      </c>
      <c r="U82" s="574"/>
      <c r="V82" s="574">
        <f>AVERAGE(V75:V81)</f>
        <v>17.477365462099687</v>
      </c>
      <c r="W82" s="574"/>
      <c r="X82" s="574">
        <f t="shared" ref="X82:Z82" si="72">AVERAGE(X75:X81)</f>
        <v>35.068220436573888</v>
      </c>
      <c r="Y82" s="574"/>
      <c r="Z82" s="574">
        <f t="shared" si="72"/>
        <v>20.463678184121072</v>
      </c>
      <c r="AA82" s="574"/>
      <c r="AB82" s="554"/>
    </row>
    <row r="83" spans="1:28" ht="16" thickBot="1">
      <c r="A83" s="571" t="s">
        <v>60</v>
      </c>
      <c r="B83" s="568" t="s">
        <v>73</v>
      </c>
      <c r="C83" s="707">
        <f t="shared" si="62"/>
        <v>18.063862802246717</v>
      </c>
      <c r="D83" s="706"/>
      <c r="E83" s="698">
        <f t="shared" si="63"/>
        <v>-85.500606270274602</v>
      </c>
      <c r="F83" s="732"/>
      <c r="G83" s="698">
        <f t="shared" si="64"/>
        <v>-38.36843039529856</v>
      </c>
      <c r="H83" s="732"/>
      <c r="I83" s="698">
        <f t="shared" si="65"/>
        <v>23.428466767555051</v>
      </c>
      <c r="J83" s="732"/>
      <c r="K83" s="698">
        <f t="shared" si="66"/>
        <v>41.084737368553078</v>
      </c>
      <c r="L83" s="732"/>
      <c r="M83" s="554"/>
      <c r="N83" s="554"/>
      <c r="O83" s="554"/>
      <c r="P83" s="554"/>
      <c r="Q83" s="572" t="s">
        <v>13</v>
      </c>
      <c r="R83" s="574">
        <f>STDEVA(R75:R81)</f>
        <v>37.093885112576615</v>
      </c>
      <c r="S83" s="574"/>
      <c r="T83" s="574">
        <f t="shared" ref="T83:Z83" si="73">STDEVA(T75:T81)</f>
        <v>37.29280129612021</v>
      </c>
      <c r="U83" s="574"/>
      <c r="V83" s="574">
        <f t="shared" si="73"/>
        <v>47.769600376921559</v>
      </c>
      <c r="W83" s="574"/>
      <c r="X83" s="574">
        <f t="shared" si="73"/>
        <v>49.198221569458411</v>
      </c>
      <c r="Y83" s="574"/>
      <c r="Z83" s="574">
        <f t="shared" si="73"/>
        <v>42.918739976162136</v>
      </c>
      <c r="AA83" s="574"/>
      <c r="AB83" s="554"/>
    </row>
    <row r="84" spans="1:28">
      <c r="A84" s="554"/>
      <c r="B84" s="572" t="s">
        <v>76</v>
      </c>
      <c r="C84" s="574">
        <f>AVERAGE(C75:C83)</f>
        <v>46.736142659384058</v>
      </c>
      <c r="D84" s="574"/>
      <c r="E84" s="574">
        <f>AVERAGE(E75:E83)</f>
        <v>-51.146590767432862</v>
      </c>
      <c r="F84" s="574"/>
      <c r="G84" s="574">
        <f t="shared" ref="G84:K84" si="74">AVERAGE(G75:G83)</f>
        <v>-49.60813789398982</v>
      </c>
      <c r="H84" s="574"/>
      <c r="I84" s="574">
        <f t="shared" si="74"/>
        <v>-55.488666822279782</v>
      </c>
      <c r="J84" s="574"/>
      <c r="K84" s="574">
        <f t="shared" si="74"/>
        <v>12.878202412309317</v>
      </c>
      <c r="L84" s="574"/>
      <c r="M84" s="554"/>
      <c r="N84" s="554"/>
      <c r="O84" s="554"/>
      <c r="P84" s="554"/>
      <c r="Q84" s="572" t="s">
        <v>14</v>
      </c>
      <c r="R84" s="574">
        <f>R83/SQRT(COUNT(R75:R81))</f>
        <v>14.020170738439839</v>
      </c>
      <c r="S84" s="574"/>
      <c r="T84" s="574">
        <f t="shared" ref="T84:Z84" si="75">T83/SQRT(COUNT(T75:T81))</f>
        <v>14.095353988925901</v>
      </c>
      <c r="U84" s="574"/>
      <c r="V84" s="574">
        <f t="shared" si="75"/>
        <v>18.055211832324538</v>
      </c>
      <c r="W84" s="574"/>
      <c r="X84" s="574">
        <f t="shared" si="75"/>
        <v>18.595179888491543</v>
      </c>
      <c r="Y84" s="574"/>
      <c r="Z84" s="574">
        <f t="shared" si="75"/>
        <v>16.221758937310174</v>
      </c>
      <c r="AA84" s="574"/>
      <c r="AB84" s="554"/>
    </row>
    <row r="85" spans="1:28">
      <c r="A85" s="554"/>
      <c r="B85" s="572" t="s">
        <v>13</v>
      </c>
      <c r="C85" s="574">
        <f>STDEVA(C75:C83)</f>
        <v>95.538290332456285</v>
      </c>
      <c r="D85" s="574"/>
      <c r="E85" s="574">
        <f t="shared" ref="E85:K85" si="76">STDEVA(E75:E83)</f>
        <v>81.998743187259166</v>
      </c>
      <c r="F85" s="574"/>
      <c r="G85" s="574">
        <f t="shared" si="76"/>
        <v>84.088139805557134</v>
      </c>
      <c r="H85" s="574"/>
      <c r="I85" s="574">
        <f t="shared" si="76"/>
        <v>109.16739669233027</v>
      </c>
      <c r="J85" s="574"/>
      <c r="K85" s="574">
        <f t="shared" si="76"/>
        <v>187.30067957474338</v>
      </c>
      <c r="L85" s="574"/>
      <c r="M85" s="554"/>
      <c r="N85" s="554"/>
      <c r="O85" s="554"/>
      <c r="P85" s="554"/>
      <c r="Q85" s="572" t="s">
        <v>99</v>
      </c>
      <c r="R85" s="554"/>
      <c r="S85" s="554"/>
      <c r="T85" s="554">
        <f>(T82-T48)/T49</f>
        <v>-117.23367952894887</v>
      </c>
      <c r="U85" s="554"/>
      <c r="V85" s="554">
        <f>(V82-V48)/V49</f>
        <v>-88.927459845877067</v>
      </c>
      <c r="W85" s="554"/>
      <c r="X85" s="554">
        <f>(X82-X48)/X49</f>
        <v>17.350281660995627</v>
      </c>
      <c r="Y85" s="554"/>
      <c r="Z85" s="554">
        <f>(Z82-Z48)/Z49</f>
        <v>-36.8833426738707</v>
      </c>
      <c r="AA85" s="554"/>
      <c r="AB85" s="554"/>
    </row>
    <row r="86" spans="1:28">
      <c r="A86" s="554"/>
      <c r="B86" s="572" t="s">
        <v>14</v>
      </c>
      <c r="C86" s="574">
        <f>C85/SQRT(COUNT(C75:C83))</f>
        <v>31.846096777485428</v>
      </c>
      <c r="D86" s="574"/>
      <c r="E86" s="574">
        <f t="shared" ref="E86:K86" si="77">E85/SQRT(COUNT(E75:E83))</f>
        <v>27.332914395753054</v>
      </c>
      <c r="F86" s="574"/>
      <c r="G86" s="574">
        <f t="shared" si="77"/>
        <v>28.029379935185712</v>
      </c>
      <c r="H86" s="574"/>
      <c r="I86" s="574">
        <f t="shared" si="77"/>
        <v>36.38913223077676</v>
      </c>
      <c r="J86" s="574"/>
      <c r="K86" s="574">
        <f t="shared" si="77"/>
        <v>62.433559858247797</v>
      </c>
      <c r="L86" s="57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554"/>
      <c r="Y86" s="554"/>
      <c r="Z86" s="554"/>
      <c r="AA86" s="554"/>
      <c r="AB86" s="554"/>
    </row>
    <row r="87" spans="1:28">
      <c r="A87" s="554"/>
      <c r="B87" s="572" t="s">
        <v>99</v>
      </c>
      <c r="C87" s="821">
        <f>(R82-C84)/C88</f>
        <v>-0.20447367627623314</v>
      </c>
      <c r="D87" s="554"/>
      <c r="E87" s="554">
        <f>(E84-E50)/E51</f>
        <v>114.80145785005381</v>
      </c>
      <c r="F87" s="554"/>
      <c r="G87" s="554">
        <f>(G84-G50)/G51</f>
        <v>121.91662017878326</v>
      </c>
      <c r="H87" s="554"/>
      <c r="I87" s="554">
        <f>(I84-I50)/I51</f>
        <v>80.236819767752195</v>
      </c>
      <c r="J87" s="554"/>
      <c r="K87" s="554">
        <f>(K84-K50)/K51</f>
        <v>20.387498637620659</v>
      </c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4"/>
      <c r="W87" s="554"/>
      <c r="X87" s="554"/>
      <c r="Y87" s="554"/>
      <c r="Z87" s="554"/>
      <c r="AA87" s="554"/>
      <c r="AB87" s="554"/>
    </row>
    <row r="88" spans="1:28">
      <c r="A88" s="554"/>
      <c r="B88" s="554" t="s">
        <v>100</v>
      </c>
      <c r="C88" s="840">
        <f>SQRT((((7-1)*(R13^2)+((9-1)*C15^2))/(9+7-2)))</f>
        <v>191.04114045986748</v>
      </c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4"/>
      <c r="R88" s="554"/>
      <c r="S88" s="554"/>
      <c r="T88" s="554"/>
      <c r="U88" s="554"/>
      <c r="V88" s="554"/>
      <c r="W88" s="554"/>
      <c r="X88" s="554"/>
      <c r="Y88" s="554"/>
      <c r="Z88" s="554"/>
      <c r="AA88" s="554"/>
      <c r="AB88" s="554"/>
    </row>
    <row r="89" spans="1:28">
      <c r="A89" s="554"/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4"/>
      <c r="S89" s="554"/>
      <c r="T89" s="554"/>
      <c r="U89" s="554"/>
      <c r="V89" s="554"/>
      <c r="W89" s="554"/>
      <c r="X89" s="554"/>
      <c r="Y89" s="554"/>
      <c r="Z89" s="554"/>
      <c r="AA89" s="554"/>
      <c r="AB89" s="554"/>
    </row>
    <row r="92" spans="1:28" ht="16" thickBot="1">
      <c r="A92" s="313"/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</row>
    <row r="93" spans="1:28" ht="16" thickBot="1">
      <c r="A93" s="1488" t="s">
        <v>177</v>
      </c>
      <c r="B93" s="1489"/>
      <c r="C93" s="1499" t="s">
        <v>159</v>
      </c>
      <c r="D93" s="1500"/>
      <c r="E93" s="1395" t="s">
        <v>151</v>
      </c>
      <c r="F93" s="1396"/>
      <c r="G93" s="1396" t="s">
        <v>153</v>
      </c>
      <c r="H93" s="1395"/>
      <c r="I93" s="1501" t="s">
        <v>154</v>
      </c>
      <c r="J93" s="1501"/>
      <c r="K93" s="1396" t="s">
        <v>155</v>
      </c>
      <c r="L93" s="1501"/>
      <c r="M93" s="313"/>
      <c r="N93" s="313"/>
      <c r="O93" s="313"/>
      <c r="P93" s="1488" t="s">
        <v>177</v>
      </c>
      <c r="Q93" s="1495"/>
      <c r="R93" s="1499" t="s">
        <v>159</v>
      </c>
      <c r="S93" s="1504"/>
      <c r="T93" s="1395" t="s">
        <v>151</v>
      </c>
      <c r="U93" s="1396"/>
      <c r="V93" s="1501" t="s">
        <v>153</v>
      </c>
      <c r="W93" s="1501"/>
      <c r="X93" s="1501" t="s">
        <v>154</v>
      </c>
      <c r="Y93" s="1501"/>
      <c r="Z93" s="1501" t="s">
        <v>155</v>
      </c>
      <c r="AA93" s="1501"/>
      <c r="AB93" s="313"/>
    </row>
    <row r="94" spans="1:28" ht="16" thickBot="1">
      <c r="A94" s="1490"/>
      <c r="B94" s="1491"/>
      <c r="C94" s="689" t="s">
        <v>152</v>
      </c>
      <c r="D94" s="690" t="s">
        <v>40</v>
      </c>
      <c r="E94" s="689" t="s">
        <v>152</v>
      </c>
      <c r="F94" s="689"/>
      <c r="G94" s="691" t="s">
        <v>152</v>
      </c>
      <c r="H94" s="690" t="s">
        <v>40</v>
      </c>
      <c r="I94" s="689" t="s">
        <v>152</v>
      </c>
      <c r="J94" s="689" t="s">
        <v>40</v>
      </c>
      <c r="K94" s="691" t="s">
        <v>152</v>
      </c>
      <c r="L94" s="689" t="s">
        <v>40</v>
      </c>
      <c r="M94" s="313"/>
      <c r="N94" s="313"/>
      <c r="O94" s="313"/>
      <c r="P94" s="1490"/>
      <c r="Q94" s="1502"/>
      <c r="R94" s="689" t="s">
        <v>152</v>
      </c>
      <c r="S94" s="689" t="s">
        <v>40</v>
      </c>
      <c r="T94" s="738" t="s">
        <v>152</v>
      </c>
      <c r="U94" s="738" t="s">
        <v>40</v>
      </c>
      <c r="V94" s="738" t="s">
        <v>152</v>
      </c>
      <c r="W94" s="738" t="s">
        <v>40</v>
      </c>
      <c r="X94" s="738" t="s">
        <v>152</v>
      </c>
      <c r="Y94" s="738" t="s">
        <v>40</v>
      </c>
      <c r="Z94" s="738" t="s">
        <v>152</v>
      </c>
      <c r="AA94" s="738" t="s">
        <v>40</v>
      </c>
      <c r="AB94" s="313"/>
    </row>
    <row r="95" spans="1:28" ht="16" thickBot="1">
      <c r="A95" s="1492"/>
      <c r="B95" s="1493"/>
      <c r="C95" s="689" t="s">
        <v>3</v>
      </c>
      <c r="D95" s="690"/>
      <c r="E95" s="689" t="s">
        <v>3</v>
      </c>
      <c r="F95" s="689"/>
      <c r="G95" s="691" t="s">
        <v>3</v>
      </c>
      <c r="H95" s="690"/>
      <c r="I95" s="689" t="s">
        <v>3</v>
      </c>
      <c r="J95" s="689"/>
      <c r="K95" s="691" t="s">
        <v>3</v>
      </c>
      <c r="L95" s="689"/>
      <c r="M95" s="313"/>
      <c r="N95" s="313"/>
      <c r="O95" s="313"/>
      <c r="P95" s="1492"/>
      <c r="Q95" s="1503"/>
      <c r="R95" s="689" t="s">
        <v>3</v>
      </c>
      <c r="S95" s="689"/>
      <c r="T95" s="738" t="s">
        <v>3</v>
      </c>
      <c r="U95" s="738"/>
      <c r="V95" s="738" t="s">
        <v>3</v>
      </c>
      <c r="W95" s="738"/>
      <c r="X95" s="738" t="s">
        <v>3</v>
      </c>
      <c r="Y95" s="738"/>
      <c r="Z95" s="738" t="s">
        <v>3</v>
      </c>
      <c r="AA95" s="738"/>
      <c r="AB95" s="313"/>
    </row>
    <row r="96" spans="1:28" ht="16" thickBot="1">
      <c r="A96" s="322" t="s">
        <v>60</v>
      </c>
      <c r="B96" s="328" t="s">
        <v>57</v>
      </c>
      <c r="C96" s="739">
        <f>(C39-C5)/C5*100</f>
        <v>2.1952249707449876</v>
      </c>
      <c r="D96" s="740"/>
      <c r="E96" s="741">
        <f>(E39-E5)/E5*100</f>
        <v>-4.1476817121604093</v>
      </c>
      <c r="F96" s="742"/>
      <c r="G96" s="741">
        <f>(G39-G5)/G5*100</f>
        <v>-5.1542810589618631</v>
      </c>
      <c r="H96" s="742"/>
      <c r="I96" s="741">
        <f>(I39-I5)/I5*100</f>
        <v>-3.5808737621783786</v>
      </c>
      <c r="J96" s="742"/>
      <c r="K96" s="741">
        <f>(K39-K5)/K5*100</f>
        <v>-0.68360850419081665</v>
      </c>
      <c r="L96" s="742"/>
      <c r="M96" s="313"/>
      <c r="N96" s="313"/>
      <c r="O96" s="313"/>
      <c r="P96" s="343" t="s">
        <v>61</v>
      </c>
      <c r="Q96" s="328" t="s">
        <v>58</v>
      </c>
      <c r="R96" s="739">
        <f>(R39-R5)/R5*100</f>
        <v>2.9934736879120378</v>
      </c>
      <c r="S96" s="740"/>
      <c r="T96" s="741">
        <f>(T39-T5)/T5*100</f>
        <v>-1.3948931492302965</v>
      </c>
      <c r="U96" s="742"/>
      <c r="V96" s="741">
        <f>(V39-V5)/V5*100</f>
        <v>-0.95164184266923713</v>
      </c>
      <c r="W96" s="742"/>
      <c r="X96" s="741">
        <f>(X39-X5)/X5*100</f>
        <v>-2.7095147616441131</v>
      </c>
      <c r="Y96" s="742"/>
      <c r="Z96" s="741">
        <f>(Z39-Z5)/Z5*100</f>
        <v>-4.4842867217748763</v>
      </c>
      <c r="AA96" s="742"/>
      <c r="AB96" s="313"/>
    </row>
    <row r="97" spans="1:28" ht="16" thickBot="1">
      <c r="A97" s="322" t="s">
        <v>60</v>
      </c>
      <c r="B97" s="331" t="s">
        <v>59</v>
      </c>
      <c r="C97" s="739">
        <f t="shared" ref="C97:C104" si="78">(C40-C6)/C6*100</f>
        <v>-1.3028176392521458</v>
      </c>
      <c r="D97" s="743"/>
      <c r="E97" s="741">
        <f t="shared" ref="E97:E104" si="79">(E40-E6)/E6*100</f>
        <v>-9.8181367649747067</v>
      </c>
      <c r="F97" s="744"/>
      <c r="G97" s="741">
        <f t="shared" ref="G97:G104" si="80">(G40-G6)/G6*100</f>
        <v>-6.4983075474691283</v>
      </c>
      <c r="H97" s="744"/>
      <c r="I97" s="741">
        <f t="shared" ref="I97:I104" si="81">(I40-I6)/I6*100</f>
        <v>-9.5658899423509247</v>
      </c>
      <c r="J97" s="744"/>
      <c r="K97" s="741">
        <f t="shared" ref="K97:K104" si="82">(K40-K6)/K6*100</f>
        <v>-3.5606461118215553</v>
      </c>
      <c r="L97" s="744"/>
      <c r="M97" s="313"/>
      <c r="N97" s="313"/>
      <c r="O97" s="313"/>
      <c r="P97" s="322" t="s">
        <v>61</v>
      </c>
      <c r="Q97" s="328" t="s">
        <v>63</v>
      </c>
      <c r="R97" s="739">
        <f t="shared" ref="R97:R102" si="83">(R40-R6)/R6*100</f>
        <v>1.3379212296599383</v>
      </c>
      <c r="S97" s="710"/>
      <c r="T97" s="741">
        <f t="shared" ref="T97:T102" si="84">(T40-T6)/T6*100</f>
        <v>-0.77899741080155049</v>
      </c>
      <c r="U97" s="744"/>
      <c r="V97" s="741">
        <f t="shared" ref="V97:V102" si="85">(V40-V6)/V6*100</f>
        <v>5.21922311361286</v>
      </c>
      <c r="W97" s="744"/>
      <c r="X97" s="741">
        <f t="shared" ref="X97:X102" si="86">(X40-X6)/X6*100</f>
        <v>22.671208358332279</v>
      </c>
      <c r="Y97" s="744"/>
      <c r="Z97" s="741">
        <f t="shared" ref="Z97:Z102" si="87">(Z40-Z6)/Z6*100</f>
        <v>10.631372404487768</v>
      </c>
      <c r="AA97" s="744"/>
      <c r="AB97" s="313"/>
    </row>
    <row r="98" spans="1:28" ht="16" thickBot="1">
      <c r="A98" s="322" t="s">
        <v>60</v>
      </c>
      <c r="B98" s="328" t="s">
        <v>62</v>
      </c>
      <c r="C98" s="739">
        <f t="shared" si="78"/>
        <v>-5.6058150860842222</v>
      </c>
      <c r="D98" s="710"/>
      <c r="E98" s="741">
        <f t="shared" si="79"/>
        <v>-37.501417460813059</v>
      </c>
      <c r="F98" s="710"/>
      <c r="G98" s="741">
        <f t="shared" si="80"/>
        <v>-40.754016650850957</v>
      </c>
      <c r="H98" s="710"/>
      <c r="I98" s="741">
        <f t="shared" si="81"/>
        <v>-50.277467566592328</v>
      </c>
      <c r="J98" s="710"/>
      <c r="K98" s="741">
        <f t="shared" si="82"/>
        <v>-40.977130031998286</v>
      </c>
      <c r="L98" s="710"/>
      <c r="M98" s="313" t="s">
        <v>163</v>
      </c>
      <c r="N98" s="313"/>
      <c r="O98" s="313"/>
      <c r="P98" s="322" t="s">
        <v>61</v>
      </c>
      <c r="Q98" s="328" t="s">
        <v>65</v>
      </c>
      <c r="R98" s="739">
        <f t="shared" si="83"/>
        <v>3.1682071154684426</v>
      </c>
      <c r="S98" s="710"/>
      <c r="T98" s="741">
        <f t="shared" si="84"/>
        <v>11.475581246826902</v>
      </c>
      <c r="U98" s="744"/>
      <c r="V98" s="741">
        <f t="shared" si="85"/>
        <v>11.707657338904671</v>
      </c>
      <c r="W98" s="744"/>
      <c r="X98" s="741">
        <f t="shared" si="86"/>
        <v>2.8219025416334551</v>
      </c>
      <c r="Y98" s="744"/>
      <c r="Z98" s="741">
        <f t="shared" si="87"/>
        <v>-2.0630707162671311</v>
      </c>
      <c r="AA98" s="744"/>
      <c r="AB98" s="313"/>
    </row>
    <row r="99" spans="1:28" ht="16" thickBot="1">
      <c r="A99" s="322" t="s">
        <v>60</v>
      </c>
      <c r="B99" s="328" t="s">
        <v>64</v>
      </c>
      <c r="C99" s="739">
        <f t="shared" si="78"/>
        <v>4.6022245359666734</v>
      </c>
      <c r="D99" s="710"/>
      <c r="E99" s="741">
        <f t="shared" si="79"/>
        <v>1.1755706103786063</v>
      </c>
      <c r="F99" s="744"/>
      <c r="G99" s="741">
        <f t="shared" si="80"/>
        <v>0.31407005830420737</v>
      </c>
      <c r="H99" s="744"/>
      <c r="I99" s="741"/>
      <c r="J99" s="745"/>
      <c r="K99" s="741"/>
      <c r="L99" s="744"/>
      <c r="M99" s="313" t="s">
        <v>164</v>
      </c>
      <c r="N99" s="313"/>
      <c r="O99" s="313"/>
      <c r="P99" s="332" t="s">
        <v>61</v>
      </c>
      <c r="Q99" s="328" t="s">
        <v>66</v>
      </c>
      <c r="R99" s="739">
        <f t="shared" si="83"/>
        <v>-4.5862244993693055</v>
      </c>
      <c r="S99" s="710"/>
      <c r="T99" s="741">
        <f t="shared" si="84"/>
        <v>-0.79417272434132491</v>
      </c>
      <c r="U99" s="744"/>
      <c r="V99" s="741">
        <f t="shared" si="85"/>
        <v>1.0393330604600288</v>
      </c>
      <c r="W99" s="744"/>
      <c r="X99" s="741">
        <f t="shared" si="86"/>
        <v>4.8764515096845091</v>
      </c>
      <c r="Y99" s="744"/>
      <c r="Z99" s="741">
        <f t="shared" si="87"/>
        <v>-1.3492012815879744</v>
      </c>
      <c r="AA99" s="744"/>
      <c r="AB99" s="313"/>
    </row>
    <row r="100" spans="1:28" ht="16" thickBot="1">
      <c r="A100" s="332" t="s">
        <v>60</v>
      </c>
      <c r="B100" s="328" t="s">
        <v>67</v>
      </c>
      <c r="C100" s="739">
        <f t="shared" si="78"/>
        <v>-2.2774069944975954</v>
      </c>
      <c r="D100" s="710"/>
      <c r="E100" s="741">
        <f t="shared" si="79"/>
        <v>-4.068117320205503</v>
      </c>
      <c r="F100" s="744"/>
      <c r="G100" s="741">
        <f t="shared" si="80"/>
        <v>-7.1755168794508144</v>
      </c>
      <c r="H100" s="744"/>
      <c r="I100" s="741">
        <f t="shared" si="81"/>
        <v>-6.1514398518107569</v>
      </c>
      <c r="J100" s="744"/>
      <c r="K100" s="741">
        <f t="shared" si="82"/>
        <v>3.3033726190082073</v>
      </c>
      <c r="L100" s="744"/>
      <c r="M100" s="313"/>
      <c r="N100" s="313"/>
      <c r="O100" s="313"/>
      <c r="P100" s="322" t="s">
        <v>61</v>
      </c>
      <c r="Q100" s="328" t="s">
        <v>69</v>
      </c>
      <c r="R100" s="739">
        <f t="shared" si="83"/>
        <v>3.8517316725513053</v>
      </c>
      <c r="S100" s="710"/>
      <c r="T100" s="741">
        <f t="shared" si="84"/>
        <v>-0.86261118641413748</v>
      </c>
      <c r="U100" s="744"/>
      <c r="V100" s="741">
        <f t="shared" si="85"/>
        <v>3.2998908167937686</v>
      </c>
      <c r="W100" s="744"/>
      <c r="X100" s="741">
        <f t="shared" si="86"/>
        <v>4.0207589756998159</v>
      </c>
      <c r="Y100" s="744"/>
      <c r="Z100" s="741">
        <f t="shared" si="87"/>
        <v>1.6449585363793668</v>
      </c>
      <c r="AA100" s="744"/>
      <c r="AB100" s="313"/>
    </row>
    <row r="101" spans="1:28" ht="16" thickBot="1">
      <c r="A101" s="322" t="s">
        <v>60</v>
      </c>
      <c r="B101" s="328" t="s">
        <v>68</v>
      </c>
      <c r="C101" s="739">
        <f t="shared" si="78"/>
        <v>1.500077836064841</v>
      </c>
      <c r="D101" s="710"/>
      <c r="E101" s="741">
        <f t="shared" si="79"/>
        <v>0.44590502323812931</v>
      </c>
      <c r="F101" s="744"/>
      <c r="G101" s="741">
        <f t="shared" si="80"/>
        <v>-4.9159212417315512</v>
      </c>
      <c r="H101" s="744"/>
      <c r="I101" s="741">
        <f t="shared" si="81"/>
        <v>-1.6294019795698766</v>
      </c>
      <c r="J101" s="744"/>
      <c r="K101" s="741">
        <f t="shared" si="82"/>
        <v>-4.3071182194452726</v>
      </c>
      <c r="L101" s="744"/>
      <c r="M101" s="313"/>
      <c r="N101" s="313"/>
      <c r="O101" s="313"/>
      <c r="P101" s="322" t="s">
        <v>61</v>
      </c>
      <c r="Q101" s="328" t="s">
        <v>70</v>
      </c>
      <c r="R101" s="739">
        <f t="shared" si="83"/>
        <v>1.6415700980206278</v>
      </c>
      <c r="S101" s="710"/>
      <c r="T101" s="741">
        <f t="shared" si="84"/>
        <v>11.98818849210922</v>
      </c>
      <c r="U101" s="744"/>
      <c r="V101" s="741">
        <f t="shared" si="85"/>
        <v>10.049838713775245</v>
      </c>
      <c r="W101" s="744"/>
      <c r="X101" s="741">
        <f t="shared" si="86"/>
        <v>12.152241299323094</v>
      </c>
      <c r="Y101" s="744"/>
      <c r="Z101" s="741">
        <f t="shared" si="87"/>
        <v>15.994379082014603</v>
      </c>
      <c r="AA101" s="744"/>
      <c r="AB101" s="313"/>
    </row>
    <row r="102" spans="1:28" ht="16" thickBot="1">
      <c r="A102" s="322" t="s">
        <v>60</v>
      </c>
      <c r="B102" s="328" t="s">
        <v>71</v>
      </c>
      <c r="C102" s="739">
        <f t="shared" si="78"/>
        <v>14.983822293188313</v>
      </c>
      <c r="D102" s="710"/>
      <c r="E102" s="741">
        <f t="shared" si="79"/>
        <v>-1.1511920624929797</v>
      </c>
      <c r="F102" s="744"/>
      <c r="G102" s="741">
        <f t="shared" si="80"/>
        <v>1.7555550454686295</v>
      </c>
      <c r="H102" s="744"/>
      <c r="I102" s="741">
        <f t="shared" si="81"/>
        <v>-2.5651608952431633</v>
      </c>
      <c r="J102" s="744"/>
      <c r="K102" s="741">
        <f t="shared" si="82"/>
        <v>-3.6824981967009713</v>
      </c>
      <c r="L102" s="744"/>
      <c r="M102" s="313"/>
      <c r="N102" s="313"/>
      <c r="O102" s="313"/>
      <c r="P102" s="333" t="s">
        <v>61</v>
      </c>
      <c r="Q102" s="328" t="s">
        <v>74</v>
      </c>
      <c r="R102" s="739">
        <f t="shared" si="83"/>
        <v>-0.9480666227642901</v>
      </c>
      <c r="S102" s="710"/>
      <c r="T102" s="741">
        <f t="shared" si="84"/>
        <v>2.7915051299411311E-2</v>
      </c>
      <c r="U102" s="744"/>
      <c r="V102" s="741">
        <f t="shared" si="85"/>
        <v>-10.342899799255749</v>
      </c>
      <c r="W102" s="744"/>
      <c r="X102" s="741">
        <f t="shared" si="86"/>
        <v>-1.2912840515496757</v>
      </c>
      <c r="Y102" s="744"/>
      <c r="Z102" s="741">
        <f t="shared" si="87"/>
        <v>7.6854151020560604</v>
      </c>
      <c r="AA102" s="744"/>
      <c r="AB102" s="313"/>
    </row>
    <row r="103" spans="1:28" ht="16" thickBot="1">
      <c r="A103" s="322" t="s">
        <v>60</v>
      </c>
      <c r="B103" s="328" t="s">
        <v>72</v>
      </c>
      <c r="C103" s="739">
        <f t="shared" si="78"/>
        <v>28.669496065825435</v>
      </c>
      <c r="D103" s="710"/>
      <c r="E103" s="741">
        <f t="shared" si="79"/>
        <v>2.0121833782484746</v>
      </c>
      <c r="F103" s="744"/>
      <c r="G103" s="741">
        <f t="shared" si="80"/>
        <v>2.5397404656853908</v>
      </c>
      <c r="H103" s="744"/>
      <c r="I103" s="741">
        <f t="shared" si="81"/>
        <v>-1.7429404605377581</v>
      </c>
      <c r="J103" s="744"/>
      <c r="K103" s="741">
        <f t="shared" si="82"/>
        <v>-8.0159714118962064</v>
      </c>
      <c r="L103" s="744"/>
      <c r="M103" s="313"/>
      <c r="N103" s="313"/>
      <c r="O103" s="313"/>
      <c r="P103" s="313"/>
      <c r="Q103" s="334" t="s">
        <v>76</v>
      </c>
      <c r="R103" s="336">
        <f>AVERAGE(R96:R102)</f>
        <v>1.065516097354108</v>
      </c>
      <c r="S103" s="336"/>
      <c r="T103" s="336">
        <f>AVERAGE(T96:T102)</f>
        <v>2.8087157599211752</v>
      </c>
      <c r="U103" s="336"/>
      <c r="V103" s="336">
        <f t="shared" ref="V103" si="88">AVERAGE(V96:V102)</f>
        <v>2.8602002002316556</v>
      </c>
      <c r="W103" s="336"/>
      <c r="X103" s="336">
        <f t="shared" ref="X103" si="89">AVERAGE(X96:X102)</f>
        <v>6.0773948387827668</v>
      </c>
      <c r="Y103" s="336"/>
      <c r="Z103" s="336">
        <f t="shared" ref="Z103" si="90">AVERAGE(Z96:Z102)</f>
        <v>4.0085094864725459</v>
      </c>
      <c r="AA103" s="336"/>
      <c r="AB103" s="313"/>
    </row>
    <row r="104" spans="1:28" ht="16" thickBot="1">
      <c r="A104" s="333" t="s">
        <v>60</v>
      </c>
      <c r="B104" s="328" t="s">
        <v>73</v>
      </c>
      <c r="C104" s="739">
        <f t="shared" si="78"/>
        <v>1.8470187966940117</v>
      </c>
      <c r="D104" s="710"/>
      <c r="E104" s="741">
        <f t="shared" si="79"/>
        <v>-12.093335290802086</v>
      </c>
      <c r="F104" s="744"/>
      <c r="G104" s="741">
        <f t="shared" si="80"/>
        <v>-5.712362510881233</v>
      </c>
      <c r="H104" s="744"/>
      <c r="I104" s="741">
        <f t="shared" si="81"/>
        <v>3.5825215450332446</v>
      </c>
      <c r="J104" s="744"/>
      <c r="K104" s="741">
        <f t="shared" si="82"/>
        <v>6.1585743618736011</v>
      </c>
      <c r="L104" s="744"/>
      <c r="M104" s="313"/>
      <c r="N104" s="313"/>
      <c r="O104" s="313"/>
      <c r="P104" s="313"/>
      <c r="Q104" s="334" t="s">
        <v>13</v>
      </c>
      <c r="R104" s="336">
        <f>STDEVA(R96:R102)</f>
        <v>2.9525146663852913</v>
      </c>
      <c r="S104" s="336"/>
      <c r="T104" s="336">
        <f t="shared" ref="T104" si="91">STDEVA(T96:T102)</f>
        <v>6.1116226735563286</v>
      </c>
      <c r="U104" s="336"/>
      <c r="V104" s="336">
        <f t="shared" ref="V104" si="92">STDEVA(V96:V102)</f>
        <v>7.3924991626358105</v>
      </c>
      <c r="W104" s="336"/>
      <c r="X104" s="336">
        <f t="shared" ref="X104" si="93">STDEVA(X96:X102)</f>
        <v>8.7562916580541437</v>
      </c>
      <c r="Y104" s="336"/>
      <c r="Z104" s="336">
        <f t="shared" ref="Z104" si="94">STDEVA(Z96:Z102)</f>
        <v>7.5754662063254168</v>
      </c>
      <c r="AA104" s="336"/>
      <c r="AB104" s="313"/>
    </row>
    <row r="105" spans="1:28">
      <c r="A105" s="313"/>
      <c r="B105" s="334" t="s">
        <v>76</v>
      </c>
      <c r="C105" s="336">
        <f>AVERAGE(C96:C104)</f>
        <v>4.9568694198500332</v>
      </c>
      <c r="D105" s="336"/>
      <c r="E105" s="336">
        <f>AVERAGE(E96:E104)</f>
        <v>-7.238469066620393</v>
      </c>
      <c r="F105" s="336"/>
      <c r="G105" s="336">
        <f t="shared" ref="G105" si="95">AVERAGE(G96:G104)</f>
        <v>-7.2890044799874794</v>
      </c>
      <c r="H105" s="336"/>
      <c r="I105" s="336">
        <f t="shared" ref="I105" si="96">AVERAGE(I96:I104)</f>
        <v>-8.9913316141562429</v>
      </c>
      <c r="J105" s="336"/>
      <c r="K105" s="336">
        <f t="shared" ref="K105" si="97">AVERAGE(K96:K104)</f>
        <v>-6.4706281868964108</v>
      </c>
      <c r="L105" s="336"/>
      <c r="M105" s="313"/>
      <c r="N105" s="313"/>
      <c r="O105" s="313"/>
      <c r="P105" s="313"/>
      <c r="Q105" s="334" t="s">
        <v>14</v>
      </c>
      <c r="R105" s="336">
        <f>R104/SQRT(COUNT(R96:R102))</f>
        <v>1.1159456499323308</v>
      </c>
      <c r="S105" s="336"/>
      <c r="T105" s="336">
        <f t="shared" ref="T105" si="98">T104/SQRT(COUNT(T96:T102))</f>
        <v>2.3099762430419619</v>
      </c>
      <c r="U105" s="336"/>
      <c r="V105" s="336">
        <f t="shared" ref="V105" si="99">V104/SQRT(COUNT(V96:V102))</f>
        <v>2.7941020502267975</v>
      </c>
      <c r="W105" s="336"/>
      <c r="X105" s="336">
        <f t="shared" ref="X105" si="100">X104/SQRT(COUNT(X96:X102))</f>
        <v>3.3095671620515268</v>
      </c>
      <c r="Y105" s="336"/>
      <c r="Z105" s="336">
        <f t="shared" ref="Z105" si="101">Z104/SQRT(COUNT(Z96:Z102))</f>
        <v>2.8632570924729959</v>
      </c>
      <c r="AA105" s="336"/>
      <c r="AB105" s="313"/>
    </row>
    <row r="106" spans="1:28">
      <c r="A106" s="313"/>
      <c r="B106" s="334" t="s">
        <v>13</v>
      </c>
      <c r="C106" s="336">
        <f>STDEVA(C96:C104)</f>
        <v>10.578812667742774</v>
      </c>
      <c r="D106" s="336"/>
      <c r="E106" s="336">
        <f t="shared" ref="E106" si="102">STDEVA(E96:E104)</f>
        <v>12.339721099382809</v>
      </c>
      <c r="F106" s="336"/>
      <c r="G106" s="336">
        <f t="shared" ref="G106" si="103">STDEVA(G96:G104)</f>
        <v>13.083551292370661</v>
      </c>
      <c r="H106" s="336"/>
      <c r="I106" s="336">
        <f t="shared" ref="I106" si="104">STDEVA(I96:I104)</f>
        <v>17.106171877772784</v>
      </c>
      <c r="J106" s="336"/>
      <c r="K106" s="336">
        <f t="shared" ref="K106" si="105">STDEVA(K96:K104)</f>
        <v>14.650824651327024</v>
      </c>
      <c r="L106" s="336"/>
      <c r="M106" s="313"/>
      <c r="N106" s="313"/>
      <c r="O106" s="313"/>
      <c r="P106" s="313"/>
      <c r="Q106" s="334" t="s">
        <v>99</v>
      </c>
      <c r="R106" s="313"/>
      <c r="S106" s="313"/>
      <c r="T106" s="313" t="e">
        <f>(T103-T69)/T70</f>
        <v>#DIV/0!</v>
      </c>
      <c r="U106" s="313"/>
      <c r="V106" s="313" t="e">
        <f>(V103-V69)/V70</f>
        <v>#DIV/0!</v>
      </c>
      <c r="W106" s="313"/>
      <c r="X106" s="313" t="e">
        <f>(X103-X69)/X70</f>
        <v>#DIV/0!</v>
      </c>
      <c r="Y106" s="313"/>
      <c r="Z106" s="313" t="e">
        <f>(Z103-Z69)/Z70</f>
        <v>#DIV/0!</v>
      </c>
      <c r="AA106" s="313"/>
      <c r="AB106" s="313"/>
    </row>
    <row r="107" spans="1:28">
      <c r="A107" s="313"/>
      <c r="B107" s="334" t="s">
        <v>14</v>
      </c>
      <c r="C107" s="336">
        <f>C106/SQRT(COUNT(C96:C104))</f>
        <v>3.5262708892475914</v>
      </c>
      <c r="D107" s="336"/>
      <c r="E107" s="336">
        <f t="shared" ref="E107" si="106">E106/SQRT(COUNT(E96:E104))</f>
        <v>4.1132403664609365</v>
      </c>
      <c r="F107" s="336"/>
      <c r="G107" s="336">
        <f t="shared" ref="G107" si="107">G106/SQRT(COUNT(G96:G104))</f>
        <v>4.3611837641235534</v>
      </c>
      <c r="H107" s="336"/>
      <c r="I107" s="336">
        <f t="shared" ref="I107" si="108">I106/SQRT(COUNT(I96:I104))</f>
        <v>6.0479450674578761</v>
      </c>
      <c r="J107" s="336"/>
      <c r="K107" s="336">
        <f t="shared" ref="K107" si="109">K106/SQRT(COUNT(K96:K104))</f>
        <v>5.1798487304641867</v>
      </c>
      <c r="L107" s="336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</row>
    <row r="108" spans="1:28">
      <c r="A108" s="313"/>
      <c r="B108" s="334" t="s">
        <v>99</v>
      </c>
      <c r="C108" s="336" t="s">
        <v>169</v>
      </c>
      <c r="D108" s="313"/>
      <c r="E108" s="313" t="e">
        <f>(E105-E71)/E72</f>
        <v>#VALUE!</v>
      </c>
      <c r="F108" s="313"/>
      <c r="G108" s="313" t="e">
        <f>(G105-G71)/G72</f>
        <v>#VALUE!</v>
      </c>
      <c r="H108" s="313"/>
      <c r="I108" s="313" t="e">
        <f>(I105-I71)/I72</f>
        <v>#VALUE!</v>
      </c>
      <c r="J108" s="313"/>
      <c r="K108" s="313" t="e">
        <f>(K105-K71)/K72</f>
        <v>#VALUE!</v>
      </c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</row>
    <row r="109" spans="1:28">
      <c r="A109" s="313"/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</row>
    <row r="110" spans="1:28">
      <c r="A110" s="313"/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</row>
  </sheetData>
  <mergeCells count="48">
    <mergeCell ref="X72:Y72"/>
    <mergeCell ref="Z72:AA72"/>
    <mergeCell ref="A93:B95"/>
    <mergeCell ref="C93:D93"/>
    <mergeCell ref="E93:F93"/>
    <mergeCell ref="G93:H93"/>
    <mergeCell ref="I93:J93"/>
    <mergeCell ref="K93:L93"/>
    <mergeCell ref="P93:Q95"/>
    <mergeCell ref="R93:S93"/>
    <mergeCell ref="T93:U93"/>
    <mergeCell ref="V93:W93"/>
    <mergeCell ref="X93:Y93"/>
    <mergeCell ref="Z93:AA93"/>
    <mergeCell ref="K72:L72"/>
    <mergeCell ref="P72:Q74"/>
    <mergeCell ref="R72:S72"/>
    <mergeCell ref="T72:U72"/>
    <mergeCell ref="V72:W72"/>
    <mergeCell ref="A72:B74"/>
    <mergeCell ref="C72:D72"/>
    <mergeCell ref="E72:F72"/>
    <mergeCell ref="G72:H72"/>
    <mergeCell ref="I72:J72"/>
    <mergeCell ref="A2:B4"/>
    <mergeCell ref="P2:Q4"/>
    <mergeCell ref="C2:D2"/>
    <mergeCell ref="C36:D36"/>
    <mergeCell ref="E2:F2"/>
    <mergeCell ref="G2:H2"/>
    <mergeCell ref="I2:J2"/>
    <mergeCell ref="K2:L2"/>
    <mergeCell ref="A36:B38"/>
    <mergeCell ref="E36:F36"/>
    <mergeCell ref="G36:H36"/>
    <mergeCell ref="I36:J36"/>
    <mergeCell ref="K36:L36"/>
    <mergeCell ref="P36:Q38"/>
    <mergeCell ref="T36:U36"/>
    <mergeCell ref="V36:W36"/>
    <mergeCell ref="X36:Y36"/>
    <mergeCell ref="Z36:AA36"/>
    <mergeCell ref="R36:S36"/>
    <mergeCell ref="T2:U2"/>
    <mergeCell ref="V2:W2"/>
    <mergeCell ref="X2:Y2"/>
    <mergeCell ref="Z2:AA2"/>
    <mergeCell ref="R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1"/>
  <sheetViews>
    <sheetView tabSelected="1" topLeftCell="A60" zoomScale="74" workbookViewId="0">
      <selection activeCell="P42" sqref="P42"/>
    </sheetView>
  </sheetViews>
  <sheetFormatPr baseColWidth="10" defaultColWidth="10.83203125" defaultRowHeight="15.5"/>
  <cols>
    <col min="1" max="1" width="10.83203125" style="1177"/>
    <col min="2" max="2" width="16.33203125" style="1177" customWidth="1"/>
    <col min="3" max="3" width="13.6640625" style="1177" customWidth="1"/>
    <col min="4" max="8" width="10.83203125" style="1177"/>
    <col min="9" max="9" width="16.5" style="1177" customWidth="1"/>
    <col min="10" max="10" width="13" style="1177" customWidth="1"/>
    <col min="11" max="13" width="10.83203125" style="1177"/>
    <col min="14" max="14" width="16" style="1177" customWidth="1"/>
    <col min="15" max="15" width="12.1640625" style="1177" bestFit="1" customWidth="1"/>
    <col min="16" max="17" width="14.5" style="1177" bestFit="1" customWidth="1"/>
    <col min="18" max="18" width="15" style="1177" bestFit="1" customWidth="1"/>
    <col min="19" max="24" width="10.83203125" style="1177"/>
    <col min="25" max="25" width="21.1640625" style="1177" bestFit="1" customWidth="1"/>
    <col min="26" max="26" width="21.1640625" style="1177" customWidth="1"/>
    <col min="27" max="27" width="20" style="1177" bestFit="1" customWidth="1"/>
    <col min="28" max="28" width="19.5" style="1177" customWidth="1"/>
    <col min="29" max="16384" width="10.83203125" style="1177"/>
  </cols>
  <sheetData>
    <row r="1" spans="2:22" ht="16" customHeight="1">
      <c r="B1" s="1516" t="s">
        <v>298</v>
      </c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8"/>
    </row>
    <row r="2" spans="2:22" ht="17" customHeight="1" thickBot="1">
      <c r="B2" s="1519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  <c r="N2" s="1521"/>
    </row>
    <row r="3" spans="2:22" ht="16" customHeight="1" thickBot="1">
      <c r="B3" s="1178"/>
      <c r="C3" s="1179"/>
      <c r="D3" s="1522" t="s">
        <v>299</v>
      </c>
      <c r="E3" s="1523"/>
      <c r="F3" s="1523"/>
      <c r="G3" s="1523"/>
      <c r="H3" s="1523"/>
      <c r="I3" s="1524"/>
      <c r="J3" s="1507" t="s">
        <v>300</v>
      </c>
      <c r="K3" s="1508"/>
      <c r="L3" s="1508"/>
      <c r="M3" s="1508"/>
      <c r="N3" s="1509"/>
    </row>
    <row r="4" spans="2:22" ht="17" customHeight="1" thickBot="1">
      <c r="B4" s="1180" t="s">
        <v>77</v>
      </c>
      <c r="C4" s="1181"/>
      <c r="D4" s="1525"/>
      <c r="E4" s="1526"/>
      <c r="F4" s="1526"/>
      <c r="G4" s="1526"/>
      <c r="H4" s="1526"/>
      <c r="I4" s="1527"/>
      <c r="J4" s="1510"/>
      <c r="K4" s="1511"/>
      <c r="L4" s="1511"/>
      <c r="M4" s="1511"/>
      <c r="N4" s="1512"/>
      <c r="S4" s="1513" t="s">
        <v>301</v>
      </c>
    </row>
    <row r="5" spans="2:22" ht="17" customHeight="1" thickBot="1">
      <c r="B5" s="1182" t="s">
        <v>75</v>
      </c>
      <c r="C5" s="1183" t="s">
        <v>48</v>
      </c>
      <c r="D5" s="1184" t="s">
        <v>302</v>
      </c>
      <c r="E5" s="1185" t="s">
        <v>303</v>
      </c>
      <c r="F5" s="1185" t="s">
        <v>304</v>
      </c>
      <c r="G5" s="1186" t="s">
        <v>305</v>
      </c>
      <c r="H5" s="1187" t="s">
        <v>306</v>
      </c>
      <c r="I5" s="1188" t="s">
        <v>307</v>
      </c>
      <c r="J5" s="1189" t="s">
        <v>308</v>
      </c>
      <c r="K5" s="1190" t="s">
        <v>309</v>
      </c>
      <c r="L5" s="1191" t="s">
        <v>310</v>
      </c>
      <c r="M5" s="1187" t="s">
        <v>306</v>
      </c>
      <c r="N5" s="1192" t="s">
        <v>311</v>
      </c>
      <c r="S5" s="1514"/>
    </row>
    <row r="6" spans="2:22">
      <c r="B6" s="1193" t="s">
        <v>60</v>
      </c>
      <c r="C6" s="1194" t="s">
        <v>57</v>
      </c>
      <c r="D6" s="1195">
        <f>[37]FP101!C7</f>
        <v>1626.1163128631972</v>
      </c>
      <c r="E6" s="1196">
        <f>[37]FP101!C10</f>
        <v>1452.7672712889189</v>
      </c>
      <c r="F6" s="1196">
        <f>[37]FP101!C13</f>
        <v>681.23783218301833</v>
      </c>
      <c r="G6" s="1197">
        <f>[37]FP101!C16</f>
        <v>816.34216736183464</v>
      </c>
      <c r="H6" s="1198">
        <f>SUM(D6:G6)</f>
        <v>4576.4635836969692</v>
      </c>
      <c r="I6" s="1199">
        <f>H6/4</f>
        <v>1144.1158959242423</v>
      </c>
      <c r="J6" s="1200">
        <f>[37]FP101!C19</f>
        <v>259.8774148469779</v>
      </c>
      <c r="K6" s="1201">
        <f>[37]FP101!C22</f>
        <v>572.22255570192419</v>
      </c>
      <c r="L6" s="1202">
        <f>[37]FP101!C25</f>
        <v>296.96841612298078</v>
      </c>
      <c r="M6" s="1203">
        <f>SUM(J6:L6)</f>
        <v>1129.0683866718828</v>
      </c>
      <c r="N6" s="1204">
        <f>M6/3</f>
        <v>376.35612889062759</v>
      </c>
      <c r="S6" s="1205">
        <f t="shared" ref="S6:S22" si="0">((N6-I6)/I6)*100</f>
        <v>-67.105069492404994</v>
      </c>
    </row>
    <row r="7" spans="2:22">
      <c r="B7" s="1206" t="s">
        <v>61</v>
      </c>
      <c r="C7" s="1207" t="s">
        <v>58</v>
      </c>
      <c r="D7" s="1208">
        <f>[37]FP102!C7</f>
        <v>597.6155641967058</v>
      </c>
      <c r="E7" s="1209">
        <f>[37]FP102!C10</f>
        <v>587.59827459927135</v>
      </c>
      <c r="F7" s="1209">
        <f>[37]FP102!C13</f>
        <v>746.77826786089986</v>
      </c>
      <c r="G7" s="1210">
        <f>[37]FP102!C16</f>
        <v>1001.1739787219067</v>
      </c>
      <c r="H7" s="1211">
        <f>SUM(D7:G7)</f>
        <v>2933.1660853787835</v>
      </c>
      <c r="I7" s="1204">
        <f>H7/4</f>
        <v>733.29152134469587</v>
      </c>
      <c r="J7" s="1212">
        <f>[37]FP102!C19</f>
        <v>261.96386911699494</v>
      </c>
      <c r="K7" s="1213">
        <f>[37]FP102!C22</f>
        <v>250.29583796682803</v>
      </c>
      <c r="L7" s="1214">
        <f>[37]FP102!C25</f>
        <v>248.47686936450859</v>
      </c>
      <c r="M7" s="1203">
        <f>SUM(J7:L7)</f>
        <v>760.73657644833156</v>
      </c>
      <c r="N7" s="1204">
        <f>M7/3</f>
        <v>253.57885881611051</v>
      </c>
      <c r="S7" s="1205">
        <f t="shared" si="0"/>
        <v>-65.419093029863149</v>
      </c>
    </row>
    <row r="8" spans="2:22">
      <c r="B8" s="1215" t="s">
        <v>60</v>
      </c>
      <c r="C8" s="1216" t="s">
        <v>59</v>
      </c>
      <c r="D8" s="1208">
        <f>[37]FP104!C7</f>
        <v>616</v>
      </c>
      <c r="E8" s="1209">
        <f>[37]FP104!C10</f>
        <v>559</v>
      </c>
      <c r="F8" s="1209">
        <f>[37]FP203!C13</f>
        <v>464.15957046868402</v>
      </c>
      <c r="G8" s="1210">
        <f>[37]FP104!C16</f>
        <v>183</v>
      </c>
      <c r="H8" s="1211">
        <f>SUM(D8:G8)</f>
        <v>1822.159570468684</v>
      </c>
      <c r="I8" s="1204">
        <f t="shared" ref="I8:I21" si="1">H8/4</f>
        <v>455.53989261717101</v>
      </c>
      <c r="J8" s="1217">
        <f>[37]FP104!C19</f>
        <v>206</v>
      </c>
      <c r="K8" s="1213">
        <f>[37]FP104!C22</f>
        <v>122</v>
      </c>
      <c r="L8" s="1214">
        <f>[37]FP104!C25</f>
        <v>54</v>
      </c>
      <c r="M8" s="1203">
        <f t="shared" ref="M8:M21" si="2">SUM(J8:L8)</f>
        <v>382</v>
      </c>
      <c r="N8" s="1204">
        <f t="shared" ref="N8:N21" si="3">M8/3</f>
        <v>127.33333333333333</v>
      </c>
      <c r="S8" s="1205">
        <f t="shared" si="0"/>
        <v>-72.047819434259225</v>
      </c>
      <c r="T8" s="1218" t="s">
        <v>312</v>
      </c>
      <c r="V8" s="1219"/>
    </row>
    <row r="9" spans="2:22">
      <c r="B9" s="1215" t="s">
        <v>60</v>
      </c>
      <c r="C9" s="1207" t="s">
        <v>62</v>
      </c>
      <c r="D9" s="1220">
        <f>[37]FP203!C7</f>
        <v>228.30341765055104</v>
      </c>
      <c r="E9" s="1209">
        <f>[37]FP203!C10</f>
        <v>979.83735918805201</v>
      </c>
      <c r="F9" s="1209">
        <f>[37]FP203!C13</f>
        <v>464.15957046868402</v>
      </c>
      <c r="G9" s="1210">
        <f>[37]FP203!C16</f>
        <v>863.98078494789866</v>
      </c>
      <c r="H9" s="1211">
        <f t="shared" ref="H9:H21" si="4">SUM(D9:G9)</f>
        <v>2536.2811322551856</v>
      </c>
      <c r="I9" s="1204">
        <f t="shared" si="1"/>
        <v>634.07028306379641</v>
      </c>
      <c r="J9" s="1221">
        <f>[37]FP203!C19</f>
        <v>10.114354375943595</v>
      </c>
      <c r="K9" s="1213">
        <f>[37]FP203!C22</f>
        <v>207.60550027064332</v>
      </c>
      <c r="L9" s="1214">
        <f>[37]FP203!C25</f>
        <v>176.14519272691297</v>
      </c>
      <c r="M9" s="1203">
        <f t="shared" si="2"/>
        <v>393.86504737349992</v>
      </c>
      <c r="N9" s="1204">
        <f t="shared" si="3"/>
        <v>131.28834912449997</v>
      </c>
      <c r="S9" s="1205">
        <f t="shared" si="0"/>
        <v>-79.294353854572535</v>
      </c>
      <c r="T9" s="1222" t="s">
        <v>313</v>
      </c>
      <c r="V9" s="1222" t="s">
        <v>314</v>
      </c>
    </row>
    <row r="10" spans="2:22">
      <c r="B10" s="1206" t="s">
        <v>61</v>
      </c>
      <c r="C10" s="1207" t="s">
        <v>63</v>
      </c>
      <c r="D10" s="1208">
        <f>[37]FP204!C7</f>
        <v>1002.8280253001332</v>
      </c>
      <c r="E10" s="1209">
        <f>[37]FP204!C10</f>
        <v>994.39059085080635</v>
      </c>
      <c r="F10" s="1209">
        <f>[37]FP204!C13</f>
        <v>531.67029274664014</v>
      </c>
      <c r="G10" s="1210">
        <f>[37]FP204!C16</f>
        <v>620.52151930623177</v>
      </c>
      <c r="H10" s="1211">
        <f t="shared" si="4"/>
        <v>3149.4104282038111</v>
      </c>
      <c r="I10" s="1204">
        <f t="shared" si="1"/>
        <v>787.35260705095277</v>
      </c>
      <c r="J10" s="1212">
        <f>[37]FP204!C19</f>
        <v>156.63597116592038</v>
      </c>
      <c r="K10" s="1223">
        <f>[37]FP204!C22</f>
        <v>215.12531974896149</v>
      </c>
      <c r="L10" s="1214">
        <f>[37]FP204!C25</f>
        <v>232.97856411935729</v>
      </c>
      <c r="M10" s="1203">
        <f t="shared" si="2"/>
        <v>604.73985503423921</v>
      </c>
      <c r="N10" s="1204">
        <f t="shared" si="3"/>
        <v>201.57995167807974</v>
      </c>
      <c r="S10" s="1205">
        <f t="shared" si="0"/>
        <v>-74.397753957645222</v>
      </c>
    </row>
    <row r="11" spans="2:22">
      <c r="B11" s="1215" t="s">
        <v>60</v>
      </c>
      <c r="C11" s="1207" t="s">
        <v>64</v>
      </c>
      <c r="D11" s="1220">
        <f>[37]FP207!C7</f>
        <v>98.423417820943385</v>
      </c>
      <c r="E11" s="1209">
        <f>[37]FP207!C10</f>
        <v>247.78333292557795</v>
      </c>
      <c r="F11" s="1209">
        <f>[37]FP207!C13</f>
        <v>374.250275626166</v>
      </c>
      <c r="G11" s="1210">
        <f>[37]FP207!C16</f>
        <v>808.86822859160634</v>
      </c>
      <c r="H11" s="1211">
        <f t="shared" si="4"/>
        <v>1529.3252549642937</v>
      </c>
      <c r="I11" s="1204">
        <f t="shared" si="1"/>
        <v>382.33131374107342</v>
      </c>
      <c r="J11" s="1212">
        <f>[37]FP207!C19</f>
        <v>141.83620713891679</v>
      </c>
      <c r="K11" s="1213">
        <f>[37]FP207!C22</f>
        <v>127.26873681845302</v>
      </c>
      <c r="L11" s="1214">
        <f>[37]FP207!C25</f>
        <v>112.0032412062931</v>
      </c>
      <c r="M11" s="1203">
        <f t="shared" si="2"/>
        <v>381.10818516366294</v>
      </c>
      <c r="N11" s="1204">
        <f t="shared" si="3"/>
        <v>127.03606172122097</v>
      </c>
      <c r="S11" s="1205">
        <f t="shared" si="0"/>
        <v>-66.773304420664402</v>
      </c>
      <c r="T11" s="1222" t="s">
        <v>313</v>
      </c>
    </row>
    <row r="12" spans="2:22">
      <c r="B12" s="1206" t="s">
        <v>61</v>
      </c>
      <c r="C12" s="1207" t="s">
        <v>65</v>
      </c>
      <c r="D12" s="1208">
        <f>[37]FP301!C7</f>
        <v>1248.5397573642622</v>
      </c>
      <c r="E12" s="1209">
        <f>[37]FP301!C10</f>
        <v>747.00465933751423</v>
      </c>
      <c r="F12" s="1209">
        <f>[37]FP301!C13</f>
        <v>317.48184896471747</v>
      </c>
      <c r="G12" s="1210">
        <f>[37]FP301!C16</f>
        <v>862.11813021743387</v>
      </c>
      <c r="H12" s="1211">
        <f t="shared" si="4"/>
        <v>3175.1443958839272</v>
      </c>
      <c r="I12" s="1204">
        <f t="shared" si="1"/>
        <v>793.78609897098181</v>
      </c>
      <c r="J12" s="1212">
        <f>[37]FP301!C19</f>
        <v>220.99180094491615</v>
      </c>
      <c r="K12" s="1213">
        <f>[37]FP301!C22</f>
        <v>267.63436665135686</v>
      </c>
      <c r="L12" s="1214">
        <f>[37]FP301!C25</f>
        <v>339.6169841700912</v>
      </c>
      <c r="M12" s="1203">
        <f t="shared" si="2"/>
        <v>828.24315176636424</v>
      </c>
      <c r="N12" s="1204">
        <f t="shared" si="3"/>
        <v>276.08105058878806</v>
      </c>
      <c r="S12" s="1205">
        <f t="shared" si="0"/>
        <v>-65.219717132022907</v>
      </c>
    </row>
    <row r="13" spans="2:22">
      <c r="B13" s="1224" t="s">
        <v>61</v>
      </c>
      <c r="C13" s="1207" t="s">
        <v>66</v>
      </c>
      <c r="D13" s="1208">
        <f>[37]FP302!C7</f>
        <v>655.46168569812892</v>
      </c>
      <c r="E13" s="1209">
        <f>[37]FP302!C10</f>
        <v>554.26883820192302</v>
      </c>
      <c r="F13" s="1209">
        <f>[37]FP302!C13</f>
        <v>447.49321924011298</v>
      </c>
      <c r="G13" s="1225"/>
      <c r="H13" s="1211">
        <f t="shared" si="4"/>
        <v>1657.223743140165</v>
      </c>
      <c r="I13" s="1204">
        <f t="shared" si="1"/>
        <v>414.30593578504124</v>
      </c>
      <c r="J13" s="1212">
        <f>[37]FP302!C19</f>
        <v>141.21509144780387</v>
      </c>
      <c r="K13" s="1213">
        <f>[37]FP302!C22</f>
        <v>202.15766449200552</v>
      </c>
      <c r="L13" s="1214">
        <f>[37]FP302!C25</f>
        <v>127.23866542459861</v>
      </c>
      <c r="M13" s="1203">
        <f t="shared" si="2"/>
        <v>470.61142136440799</v>
      </c>
      <c r="N13" s="1204">
        <f t="shared" si="3"/>
        <v>156.870473788136</v>
      </c>
      <c r="S13" s="1205">
        <f t="shared" si="0"/>
        <v>-62.136561357516541</v>
      </c>
      <c r="T13" s="1222" t="s">
        <v>315</v>
      </c>
      <c r="U13" s="1218" t="s">
        <v>316</v>
      </c>
    </row>
    <row r="14" spans="2:22">
      <c r="B14" s="1226" t="s">
        <v>60</v>
      </c>
      <c r="C14" s="1207" t="s">
        <v>67</v>
      </c>
      <c r="D14" s="1208">
        <f>[37]FP303!C7</f>
        <v>2547.4585555647654</v>
      </c>
      <c r="E14" s="1209">
        <f>[37]FP303!C10</f>
        <v>1069.5442359643716</v>
      </c>
      <c r="F14" s="1209">
        <f>[37]FP303!C13</f>
        <v>651.5575358856895</v>
      </c>
      <c r="G14" s="1210">
        <f>[37]FP303!C16</f>
        <v>482.99842822679204</v>
      </c>
      <c r="H14" s="1211">
        <f t="shared" si="4"/>
        <v>4751.5587556416194</v>
      </c>
      <c r="I14" s="1204">
        <f t="shared" si="1"/>
        <v>1187.8896889104049</v>
      </c>
      <c r="J14" s="1212">
        <f>[37]FP303!C19</f>
        <v>406.11878812255952</v>
      </c>
      <c r="K14" s="1213">
        <f>[37]FP303!C22</f>
        <v>377.30561515144802</v>
      </c>
      <c r="L14" s="1214">
        <f>[37]FP303!C25</f>
        <v>486.37669665200275</v>
      </c>
      <c r="M14" s="1203">
        <f t="shared" si="2"/>
        <v>1269.8010999260102</v>
      </c>
      <c r="N14" s="1204">
        <f t="shared" si="3"/>
        <v>423.26703330867008</v>
      </c>
      <c r="S14" s="1205">
        <f t="shared" si="0"/>
        <v>-64.368153267083841</v>
      </c>
    </row>
    <row r="15" spans="2:22">
      <c r="B15" s="1215" t="s">
        <v>60</v>
      </c>
      <c r="C15" s="1207" t="s">
        <v>68</v>
      </c>
      <c r="D15" s="1208">
        <f>[37]FP304!C7</f>
        <v>814.53036030456121</v>
      </c>
      <c r="E15" s="1209">
        <f>[37]FP304!C10</f>
        <v>343.03699856885794</v>
      </c>
      <c r="F15" s="1209">
        <f>[37]FP304!C13</f>
        <v>683.91955574419762</v>
      </c>
      <c r="G15" s="1210">
        <f>[37]FP304!C16</f>
        <v>123.3570097009701</v>
      </c>
      <c r="H15" s="1211">
        <f t="shared" si="4"/>
        <v>1964.8439243185869</v>
      </c>
      <c r="I15" s="1204">
        <f t="shared" si="1"/>
        <v>491.21098107964673</v>
      </c>
      <c r="J15" s="1212">
        <f>[37]FP304!C19</f>
        <v>138.79581127938934</v>
      </c>
      <c r="K15" s="1213">
        <f>[37]FP304!C22</f>
        <v>309.48846146292834</v>
      </c>
      <c r="L15" s="1214">
        <f>[37]FP304!C25</f>
        <v>223.12162305088816</v>
      </c>
      <c r="M15" s="1203">
        <f t="shared" si="2"/>
        <v>671.4058957932059</v>
      </c>
      <c r="N15" s="1204">
        <f t="shared" si="3"/>
        <v>223.80196526440196</v>
      </c>
      <c r="S15" s="1205">
        <f t="shared" si="0"/>
        <v>-54.438729205014667</v>
      </c>
    </row>
    <row r="16" spans="2:22">
      <c r="B16" s="1206" t="s">
        <v>61</v>
      </c>
      <c r="C16" s="1207" t="s">
        <v>69</v>
      </c>
      <c r="D16" s="1208">
        <f>[37]FP410!C7</f>
        <v>1577.3405060498496</v>
      </c>
      <c r="E16" s="1209">
        <f>[37]FP410!C10</f>
        <v>1531.7842109788571</v>
      </c>
      <c r="F16" s="1209">
        <f>[37]FP410!C13</f>
        <v>1171.154322378133</v>
      </c>
      <c r="G16" s="1210">
        <f>[37]FP410!C16</f>
        <v>1573.4284745626358</v>
      </c>
      <c r="H16" s="1211">
        <f t="shared" si="4"/>
        <v>5853.7075139694753</v>
      </c>
      <c r="I16" s="1204">
        <f t="shared" si="1"/>
        <v>1463.4268784923688</v>
      </c>
      <c r="J16" s="1212">
        <f>[37]FP410!C19</f>
        <v>486.16488610799911</v>
      </c>
      <c r="K16" s="1213">
        <f>[37]FP410!C22</f>
        <v>426.32815897139415</v>
      </c>
      <c r="L16" s="1214">
        <f>[37]FP410!C25</f>
        <v>680.19952707580092</v>
      </c>
      <c r="M16" s="1203">
        <f t="shared" si="2"/>
        <v>1592.6925721551943</v>
      </c>
      <c r="N16" s="1204">
        <f t="shared" si="3"/>
        <v>530.89752405173147</v>
      </c>
      <c r="S16" s="1205">
        <f t="shared" si="0"/>
        <v>-63.722306057500774</v>
      </c>
    </row>
    <row r="17" spans="2:20">
      <c r="B17" s="1206" t="s">
        <v>61</v>
      </c>
      <c r="C17" s="1207" t="s">
        <v>70</v>
      </c>
      <c r="D17" s="1208">
        <f>[37]FP420!C7</f>
        <v>1327.4058735851129</v>
      </c>
      <c r="E17" s="1209">
        <f>[37]FP420!C10</f>
        <v>1262.8216769540491</v>
      </c>
      <c r="F17" s="1209">
        <f>[37]FP420!C13</f>
        <v>1087.0210405521357</v>
      </c>
      <c r="G17" s="1210">
        <f>[37]FP420!C16</f>
        <v>994.51174452701434</v>
      </c>
      <c r="H17" s="1211">
        <f t="shared" si="4"/>
        <v>4671.7603356183117</v>
      </c>
      <c r="I17" s="1204">
        <f t="shared" si="1"/>
        <v>1167.9400839045779</v>
      </c>
      <c r="J17" s="1212">
        <f>[37]FP420!C19</f>
        <v>465.89299670836584</v>
      </c>
      <c r="K17" s="1213">
        <f>[37]FP420!C22</f>
        <v>288.36917867102341</v>
      </c>
      <c r="L17" s="1214">
        <f>[37]FP420!C25</f>
        <v>354.32358003865926</v>
      </c>
      <c r="M17" s="1203">
        <f t="shared" si="2"/>
        <v>1108.5857554180484</v>
      </c>
      <c r="N17" s="1204">
        <f t="shared" si="3"/>
        <v>369.52858513934945</v>
      </c>
      <c r="S17" s="1205">
        <f t="shared" si="0"/>
        <v>-68.360655633637762</v>
      </c>
    </row>
    <row r="18" spans="2:20">
      <c r="B18" s="1215" t="s">
        <v>60</v>
      </c>
      <c r="C18" s="1207" t="s">
        <v>71</v>
      </c>
      <c r="D18" s="1208">
        <f>[37]FP440!C7</f>
        <v>1211.2546957385428</v>
      </c>
      <c r="E18" s="1209">
        <f>[37]FP440!C10</f>
        <v>651.10298292982407</v>
      </c>
      <c r="F18" s="1209">
        <f>[37]FP440!C13</f>
        <v>722.53481597047903</v>
      </c>
      <c r="G18" s="1210">
        <f>[37]FP440!C16</f>
        <v>971.07307974742787</v>
      </c>
      <c r="H18" s="1211">
        <f t="shared" si="4"/>
        <v>3555.9655743862741</v>
      </c>
      <c r="I18" s="1204">
        <f t="shared" si="1"/>
        <v>888.99139359656851</v>
      </c>
      <c r="J18" s="1212">
        <f>[37]FP440!C19</f>
        <v>323.65995258319049</v>
      </c>
      <c r="K18" s="1213">
        <f>[37]FP440!C22</f>
        <v>250.5683901213109</v>
      </c>
      <c r="L18" s="1214">
        <f>[37]FP440!C25</f>
        <v>324.5178515096261</v>
      </c>
      <c r="M18" s="1203">
        <f t="shared" si="2"/>
        <v>898.74619421412751</v>
      </c>
      <c r="N18" s="1204">
        <f t="shared" si="3"/>
        <v>299.5820647380425</v>
      </c>
      <c r="S18" s="1205">
        <f t="shared" si="0"/>
        <v>-66.300903822473316</v>
      </c>
    </row>
    <row r="19" spans="2:20">
      <c r="B19" s="1215" t="s">
        <v>60</v>
      </c>
      <c r="C19" s="1207" t="s">
        <v>72</v>
      </c>
      <c r="D19" s="1208">
        <f>[37]FP450!C7</f>
        <v>658.92904367581491</v>
      </c>
      <c r="E19" s="1209">
        <f>[37]FP450!C10</f>
        <v>514.42670328521228</v>
      </c>
      <c r="F19" s="1209">
        <f>[37]FP450!C13</f>
        <v>482.44325074238958</v>
      </c>
      <c r="G19" s="1210">
        <f>[37]FP450!C16</f>
        <v>910.1671975382244</v>
      </c>
      <c r="H19" s="1211">
        <f t="shared" si="4"/>
        <v>2565.9661952416413</v>
      </c>
      <c r="I19" s="1204">
        <f t="shared" si="1"/>
        <v>641.49154881041034</v>
      </c>
      <c r="J19" s="1212">
        <f>[37]FP450!C19</f>
        <v>257.70041659682653</v>
      </c>
      <c r="K19" s="1213">
        <f>[37]FP450!C22</f>
        <v>273.61161169516572</v>
      </c>
      <c r="L19" s="1214">
        <f>[37]FP450!C25</f>
        <v>136.29927780037559</v>
      </c>
      <c r="M19" s="1203">
        <f t="shared" si="2"/>
        <v>667.61130609236784</v>
      </c>
      <c r="N19" s="1204">
        <f t="shared" si="3"/>
        <v>222.53710203078927</v>
      </c>
      <c r="S19" s="1205">
        <f t="shared" si="0"/>
        <v>-65.309425752612839</v>
      </c>
    </row>
    <row r="20" spans="2:20">
      <c r="B20" s="1215" t="s">
        <v>60</v>
      </c>
      <c r="C20" s="1207" t="s">
        <v>73</v>
      </c>
      <c r="D20" s="1227"/>
      <c r="E20" s="1228"/>
      <c r="F20" s="1209">
        <f>[37]FP460!C13</f>
        <v>642.79092146117614</v>
      </c>
      <c r="G20" s="1210">
        <f>[37]FP460!C16</f>
        <v>869.26878496592099</v>
      </c>
      <c r="H20" s="1211">
        <f t="shared" si="4"/>
        <v>1512.0597064270971</v>
      </c>
      <c r="I20" s="1204">
        <f>H20/2</f>
        <v>756.02985321354856</v>
      </c>
      <c r="J20" s="1212">
        <f>[37]FP460!C19</f>
        <v>428.41061894264141</v>
      </c>
      <c r="K20" s="1213">
        <f>[37]FP460!C22</f>
        <v>353.14247676712966</v>
      </c>
      <c r="L20" s="1214">
        <f>[37]FP460!C25</f>
        <v>220.63793463187667</v>
      </c>
      <c r="M20" s="1203">
        <f t="shared" si="2"/>
        <v>1002.1910303416477</v>
      </c>
      <c r="N20" s="1204">
        <f t="shared" si="3"/>
        <v>334.0636767805492</v>
      </c>
      <c r="S20" s="1205">
        <f t="shared" si="0"/>
        <v>-55.813427821587702</v>
      </c>
      <c r="T20" s="1218" t="s">
        <v>317</v>
      </c>
    </row>
    <row r="21" spans="2:20" ht="16" thickBot="1">
      <c r="B21" s="1229" t="s">
        <v>61</v>
      </c>
      <c r="C21" s="1230" t="s">
        <v>74</v>
      </c>
      <c r="D21" s="1231">
        <f>[37]FP470!C7</f>
        <v>926.02426619413234</v>
      </c>
      <c r="E21" s="1232">
        <f>[37]FP470!C10</f>
        <v>956.14213973563983</v>
      </c>
      <c r="F21" s="1232">
        <f>[37]FP470!C13</f>
        <v>377.2421950036707</v>
      </c>
      <c r="G21" s="1233">
        <f>[37]FP470!C16</f>
        <v>769.69995649102407</v>
      </c>
      <c r="H21" s="1234">
        <f t="shared" si="4"/>
        <v>3029.1085574244671</v>
      </c>
      <c r="I21" s="1235">
        <f t="shared" si="1"/>
        <v>757.27713935611678</v>
      </c>
      <c r="J21" s="1236">
        <f>[37]FP470!C19</f>
        <v>314.4476478508609</v>
      </c>
      <c r="K21" s="1237">
        <f>[37]FP470!C22</f>
        <v>202.19777629219297</v>
      </c>
      <c r="L21" s="1238">
        <f>[37]FP470!C25</f>
        <v>339.8111379520227</v>
      </c>
      <c r="M21" s="1239">
        <f t="shared" si="2"/>
        <v>856.45656209507661</v>
      </c>
      <c r="N21" s="1235">
        <f t="shared" si="3"/>
        <v>285.48552069835887</v>
      </c>
      <c r="S21" s="1240">
        <f t="shared" si="0"/>
        <v>-62.301051245110074</v>
      </c>
    </row>
    <row r="22" spans="2:20">
      <c r="C22" s="1241" t="s">
        <v>318</v>
      </c>
      <c r="D22" s="1242">
        <f>(SUM(D6:D21))/15</f>
        <v>1009.0820988004467</v>
      </c>
      <c r="E22" s="1243">
        <f>AVERAGE(E6:E21)</f>
        <v>830.10061832059193</v>
      </c>
      <c r="F22" s="1243">
        <f t="shared" ref="F22:N22" si="5">AVERAGE(F6:F21)</f>
        <v>615.3684072060496</v>
      </c>
      <c r="G22" s="1244">
        <f t="shared" si="5"/>
        <v>790.03396566046149</v>
      </c>
      <c r="H22" s="1245">
        <f t="shared" si="5"/>
        <v>3080.2590473137061</v>
      </c>
      <c r="I22" s="1246">
        <f t="shared" si="5"/>
        <v>793.69069474134994</v>
      </c>
      <c r="J22" s="1242">
        <f t="shared" si="5"/>
        <v>263.73911420183168</v>
      </c>
      <c r="K22" s="1243">
        <f t="shared" si="5"/>
        <v>277.83260317392291</v>
      </c>
      <c r="L22" s="1247">
        <f t="shared" si="5"/>
        <v>272.04472261537467</v>
      </c>
      <c r="M22" s="1245">
        <f t="shared" si="5"/>
        <v>813.61643999112914</v>
      </c>
      <c r="N22" s="1246">
        <f t="shared" si="5"/>
        <v>271.20547999704308</v>
      </c>
      <c r="S22" s="1248">
        <f t="shared" si="0"/>
        <v>-65.829827438581191</v>
      </c>
    </row>
    <row r="23" spans="2:20">
      <c r="C23" s="1249" t="s">
        <v>13</v>
      </c>
      <c r="D23" s="1250">
        <f>STDEVA(D6:D21)</f>
        <v>616.72928759296371</v>
      </c>
      <c r="E23" s="1251">
        <f>STDEVA(E6:E21)</f>
        <v>388.5190511279996</v>
      </c>
      <c r="F23" s="1251">
        <f t="shared" ref="F23" si="6">STDEVA(F6:F21)</f>
        <v>241.29791986337744</v>
      </c>
      <c r="G23" s="1252">
        <f>STDEVA(G6:G21)</f>
        <v>348.63630313413449</v>
      </c>
      <c r="H23" s="1253">
        <f t="shared" ref="H23:K23" si="7">STDEVA(H6:H21)</f>
        <v>1311.4405974698273</v>
      </c>
      <c r="I23" s="1254">
        <f t="shared" si="7"/>
        <v>310.90696499276379</v>
      </c>
      <c r="J23" s="1250">
        <f t="shared" si="7"/>
        <v>134.25982486076109</v>
      </c>
      <c r="K23" s="1251">
        <f t="shared" si="7"/>
        <v>113.80803327591686</v>
      </c>
      <c r="L23" s="1255">
        <f>STDEVA(L6:L21)</f>
        <v>155.06947256653373</v>
      </c>
      <c r="M23" s="1253">
        <f t="shared" ref="M23:N23" si="8">STDEVA(M6:M21)</f>
        <v>346.56451262878352</v>
      </c>
      <c r="N23" s="1254">
        <f t="shared" si="8"/>
        <v>115.52150420959443</v>
      </c>
      <c r="S23" s="1256">
        <f>STDEVA(S6:S21)</f>
        <v>6.1431418981044903</v>
      </c>
    </row>
    <row r="24" spans="2:20" ht="16" thickBot="1">
      <c r="C24" s="1257" t="s">
        <v>14</v>
      </c>
      <c r="D24" s="1258">
        <f>D23/(SQRT(COUNT(D6:D21)))</f>
        <v>159.23881733106086</v>
      </c>
      <c r="E24" s="1259">
        <f>E23/(SQRT(COUNT(E6:E21)))</f>
        <v>100.31518764687003</v>
      </c>
      <c r="F24" s="1259">
        <f t="shared" ref="F24:K24" si="9">F23/(SQRT(COUNT(F6:F21)))</f>
        <v>60.324479965844361</v>
      </c>
      <c r="G24" s="1260">
        <f t="shared" si="9"/>
        <v>90.017506394788228</v>
      </c>
      <c r="H24" s="1261">
        <f t="shared" si="9"/>
        <v>327.86014936745681</v>
      </c>
      <c r="I24" s="1262">
        <f t="shared" si="9"/>
        <v>77.726741248190947</v>
      </c>
      <c r="J24" s="1258">
        <f t="shared" si="9"/>
        <v>33.564956215190271</v>
      </c>
      <c r="K24" s="1259">
        <f t="shared" si="9"/>
        <v>28.452008318979214</v>
      </c>
      <c r="L24" s="1263">
        <f>L23/(SQRT(COUNT(L6:L21)))</f>
        <v>38.767368141633433</v>
      </c>
      <c r="M24" s="1261">
        <f t="shared" ref="M24:N24" si="10">M23/(SQRT(COUNT(M6:M21)))</f>
        <v>86.64112815719588</v>
      </c>
      <c r="N24" s="1262">
        <f t="shared" si="10"/>
        <v>28.880376052398606</v>
      </c>
      <c r="S24" s="1264">
        <f>S23/(SQRT(COUNT(S6:S21)))</f>
        <v>1.5357854745261226</v>
      </c>
    </row>
    <row r="48" ht="16" thickBot="1"/>
    <row r="49" spans="2:28" ht="16" customHeight="1" thickBot="1">
      <c r="B49" s="1178"/>
      <c r="C49" s="1179"/>
      <c r="D49" s="1522" t="s">
        <v>299</v>
      </c>
      <c r="E49" s="1523"/>
      <c r="F49" s="1523"/>
      <c r="G49" s="1523"/>
      <c r="H49" s="1523"/>
      <c r="I49" s="1524"/>
      <c r="K49" s="1528" t="s">
        <v>319</v>
      </c>
      <c r="L49" s="1528"/>
      <c r="M49" s="1528"/>
      <c r="N49" s="1528"/>
      <c r="O49" s="1528"/>
      <c r="P49" s="1528"/>
      <c r="Q49" s="1528"/>
      <c r="R49" s="1528"/>
      <c r="T49" s="1507" t="s">
        <v>300</v>
      </c>
      <c r="U49" s="1508"/>
      <c r="V49" s="1508"/>
      <c r="W49" s="1508"/>
      <c r="X49" s="1509"/>
      <c r="Y49" s="1265"/>
      <c r="Z49" s="1265"/>
      <c r="AA49" s="1265"/>
      <c r="AB49" s="1266"/>
    </row>
    <row r="50" spans="2:28" ht="17" customHeight="1" thickBot="1">
      <c r="B50" s="1180" t="s">
        <v>77</v>
      </c>
      <c r="C50" s="1181"/>
      <c r="D50" s="1525"/>
      <c r="E50" s="1526"/>
      <c r="F50" s="1526"/>
      <c r="G50" s="1526"/>
      <c r="H50" s="1526"/>
      <c r="I50" s="1527"/>
      <c r="K50" s="1528"/>
      <c r="L50" s="1528"/>
      <c r="M50" s="1528"/>
      <c r="N50" s="1528"/>
      <c r="O50" s="1528"/>
      <c r="P50" s="1528"/>
      <c r="Q50" s="1528"/>
      <c r="R50" s="1528"/>
      <c r="T50" s="1510"/>
      <c r="U50" s="1511"/>
      <c r="V50" s="1511"/>
      <c r="W50" s="1511"/>
      <c r="X50" s="1512"/>
      <c r="Y50" s="1267"/>
      <c r="Z50" s="1267"/>
      <c r="AA50" s="1513" t="s">
        <v>320</v>
      </c>
      <c r="AB50" s="1513" t="s">
        <v>321</v>
      </c>
    </row>
    <row r="51" spans="2:28" ht="16" customHeight="1" thickBot="1">
      <c r="B51" s="1182" t="s">
        <v>75</v>
      </c>
      <c r="C51" s="1183" t="s">
        <v>48</v>
      </c>
      <c r="D51" s="1184" t="s">
        <v>302</v>
      </c>
      <c r="E51" s="1185" t="s">
        <v>303</v>
      </c>
      <c r="F51" s="1185" t="s">
        <v>304</v>
      </c>
      <c r="G51" s="1186" t="s">
        <v>305</v>
      </c>
      <c r="H51" s="1268" t="s">
        <v>306</v>
      </c>
      <c r="I51" s="1269" t="s">
        <v>307</v>
      </c>
      <c r="J51" s="1270" t="s">
        <v>322</v>
      </c>
      <c r="K51" s="1270" t="s">
        <v>323</v>
      </c>
      <c r="L51" s="1270" t="s">
        <v>324</v>
      </c>
      <c r="M51" s="1270" t="s">
        <v>325</v>
      </c>
      <c r="N51" s="1270" t="s">
        <v>326</v>
      </c>
      <c r="O51" s="1270" t="s">
        <v>327</v>
      </c>
      <c r="P51" s="1270" t="s">
        <v>328</v>
      </c>
      <c r="Q51" s="1270" t="s">
        <v>329</v>
      </c>
      <c r="R51" s="1270" t="s">
        <v>330</v>
      </c>
      <c r="T51" s="1189" t="s">
        <v>308</v>
      </c>
      <c r="U51" s="1190" t="s">
        <v>309</v>
      </c>
      <c r="V51" s="1191" t="s">
        <v>310</v>
      </c>
      <c r="W51" s="1187" t="s">
        <v>306</v>
      </c>
      <c r="X51" s="1192" t="s">
        <v>311</v>
      </c>
      <c r="Y51" s="1270" t="s">
        <v>331</v>
      </c>
      <c r="Z51" s="1270" t="s">
        <v>332</v>
      </c>
      <c r="AA51" s="1514"/>
      <c r="AB51" s="1515"/>
    </row>
    <row r="52" spans="2:28" ht="17" customHeight="1">
      <c r="B52" s="1271" t="s">
        <v>60</v>
      </c>
      <c r="C52" s="1272" t="s">
        <v>57</v>
      </c>
      <c r="D52" s="1195">
        <v>1626.0338743352015</v>
      </c>
      <c r="E52" s="1196">
        <v>1452.5199557049318</v>
      </c>
      <c r="F52" s="1196">
        <v>680.90807807103556</v>
      </c>
      <c r="G52" s="1273">
        <v>816.09485177784757</v>
      </c>
      <c r="H52" s="1274">
        <v>4575.5567598890166</v>
      </c>
      <c r="I52" s="1251">
        <f>AVERAGE(D52:G52)</f>
        <v>1143.8891899722541</v>
      </c>
      <c r="J52" s="1275">
        <f>SUM([37]FP101!Q7:Q16)/4</f>
        <v>17.874166666666667</v>
      </c>
      <c r="K52" s="1223">
        <f>[37]FP101!C27</f>
        <v>29</v>
      </c>
      <c r="L52" s="1223">
        <f>[37]FP101!D27</f>
        <v>17</v>
      </c>
      <c r="M52" s="1223">
        <f>[37]FP101!E27</f>
        <v>8</v>
      </c>
      <c r="N52" s="1223">
        <f>[37]FP101!F27</f>
        <v>3</v>
      </c>
      <c r="O52" s="1276">
        <f>K52/(30/7)</f>
        <v>6.7666666666666666</v>
      </c>
      <c r="P52" s="1276">
        <f>L52/K52*100</f>
        <v>58.620689655172406</v>
      </c>
      <c r="Q52" s="1276">
        <f>M52/K52*100</f>
        <v>27.586206896551722</v>
      </c>
      <c r="R52" s="1276">
        <f>N52/K52*100</f>
        <v>10.344827586206897</v>
      </c>
      <c r="T52" s="1195">
        <v>259.54766073499508</v>
      </c>
      <c r="U52" s="1196">
        <v>571.97524011793712</v>
      </c>
      <c r="V52" s="1197">
        <v>296.4476148774545</v>
      </c>
      <c r="W52" s="1203">
        <v>1127.9705157303868</v>
      </c>
      <c r="X52" s="1204">
        <v>375.99017191012894</v>
      </c>
      <c r="Y52" s="1277">
        <f>[37]FP101!C34</f>
        <v>17</v>
      </c>
      <c r="Z52" s="1278">
        <f>AVERAGE([37]FP101!P18:P26)</f>
        <v>9.5617592592592597</v>
      </c>
      <c r="AA52" s="1279">
        <f t="shared" ref="AA52:AA60" si="11">((X52-I52)/I52)*100</f>
        <v>-67.130542433113746</v>
      </c>
      <c r="AB52" s="1280">
        <f>((Z52-J52)/J52)*100</f>
        <v>-46.505146575079905</v>
      </c>
    </row>
    <row r="53" spans="2:28">
      <c r="B53" s="1281" t="s">
        <v>60</v>
      </c>
      <c r="C53" s="1216" t="s">
        <v>59</v>
      </c>
      <c r="D53" s="1208">
        <v>616</v>
      </c>
      <c r="E53" s="1209">
        <v>559</v>
      </c>
      <c r="F53" s="1209">
        <v>465.5361847535587</v>
      </c>
      <c r="G53" s="1282">
        <v>183</v>
      </c>
      <c r="H53" s="1274">
        <v>1823.5361847535587</v>
      </c>
      <c r="I53" s="1251">
        <f t="shared" ref="I53:I59" si="12">AVERAGE(D53:G53)</f>
        <v>455.88404618838968</v>
      </c>
      <c r="J53" s="1177">
        <f>SUM([37]FP104!Q7:Q16)/4</f>
        <v>12.220416666666665</v>
      </c>
      <c r="K53" s="1223">
        <f>[37]FP104!C27</f>
        <v>23</v>
      </c>
      <c r="L53" s="1223">
        <f>[37]FP104!D27</f>
        <v>15</v>
      </c>
      <c r="M53" s="1223">
        <f>[37]FP104!E27</f>
        <v>4</v>
      </c>
      <c r="N53" s="1223">
        <f>[37]FP104!F27</f>
        <v>4</v>
      </c>
      <c r="O53" s="1276">
        <f t="shared" ref="O53:O60" si="13">K53/(30/7)</f>
        <v>5.3666666666666671</v>
      </c>
      <c r="P53" s="1276">
        <f t="shared" ref="P53:P60" si="14">L53/K53*100</f>
        <v>65.217391304347828</v>
      </c>
      <c r="Q53" s="1276">
        <f t="shared" ref="Q53:Q60" si="15">M53/K53*100</f>
        <v>17.391304347826086</v>
      </c>
      <c r="R53" s="1276">
        <f t="shared" ref="R53:R60" si="16">N53/K53*100</f>
        <v>17.391304347826086</v>
      </c>
      <c r="T53" s="1283">
        <v>206</v>
      </c>
      <c r="U53" s="1209">
        <v>122</v>
      </c>
      <c r="V53" s="1210">
        <v>54</v>
      </c>
      <c r="W53" s="1203">
        <v>382</v>
      </c>
      <c r="X53" s="1204">
        <v>127.33333333333333</v>
      </c>
      <c r="Y53" s="1277">
        <f>[37]FP104!C34</f>
        <v>9</v>
      </c>
      <c r="Z53" s="1278">
        <f>AVERAGE([37]FP104!P18:P26)</f>
        <v>4.5687037037037035</v>
      </c>
      <c r="AA53" s="1284">
        <f t="shared" si="11"/>
        <v>-72.068920946464971</v>
      </c>
      <c r="AB53" s="1285">
        <f t="shared" ref="AB53:AB60" si="17">((Z53-J53)/J53)*100</f>
        <v>-62.614174063592721</v>
      </c>
    </row>
    <row r="54" spans="2:28">
      <c r="B54" s="1281" t="s">
        <v>60</v>
      </c>
      <c r="C54" s="1286" t="s">
        <v>62</v>
      </c>
      <c r="D54" s="1220">
        <v>230.02418550664424</v>
      </c>
      <c r="E54" s="1209">
        <v>980.52566633048923</v>
      </c>
      <c r="F54" s="1209">
        <v>465.5361847535587</v>
      </c>
      <c r="G54" s="1282">
        <v>865.01324566155449</v>
      </c>
      <c r="H54" s="1274">
        <v>2541.0992822522467</v>
      </c>
      <c r="I54" s="1251">
        <f t="shared" si="12"/>
        <v>635.27482056306167</v>
      </c>
      <c r="J54" s="1177">
        <f>SUM([37]FP203!Q7:Q16)/4</f>
        <v>8.2737499999999997</v>
      </c>
      <c r="K54" s="1223">
        <f>[37]FP203!C27</f>
        <v>26</v>
      </c>
      <c r="L54" s="1223">
        <f>[37]FP203!D27</f>
        <v>12</v>
      </c>
      <c r="M54" s="1223">
        <f>[37]FP203!E27</f>
        <v>10</v>
      </c>
      <c r="N54" s="1223">
        <f>[37]FP203!F27</f>
        <v>4</v>
      </c>
      <c r="O54" s="1276">
        <f t="shared" si="13"/>
        <v>6.0666666666666664</v>
      </c>
      <c r="P54" s="1276">
        <f t="shared" si="14"/>
        <v>46.153846153846153</v>
      </c>
      <c r="Q54" s="1276">
        <f t="shared" si="15"/>
        <v>38.461538461538467</v>
      </c>
      <c r="R54" s="1276">
        <f t="shared" si="16"/>
        <v>15.384615384615385</v>
      </c>
      <c r="S54" s="1223"/>
      <c r="T54" s="1220">
        <v>13.200027188485313</v>
      </c>
      <c r="U54" s="1209">
        <v>210.00286594074768</v>
      </c>
      <c r="V54" s="1210">
        <v>178.54255839701733</v>
      </c>
      <c r="W54" s="1203">
        <v>401.74545152625035</v>
      </c>
      <c r="X54" s="1204">
        <v>133.91515050875012</v>
      </c>
      <c r="Y54" s="1277">
        <f>[37]FP203!C34</f>
        <v>7</v>
      </c>
      <c r="Z54" s="1278">
        <f>AVERAGE([37]FP203!P18:P26)</f>
        <v>1.2768518518518519</v>
      </c>
      <c r="AA54" s="1284">
        <f t="shared" si="11"/>
        <v>-78.920123043747054</v>
      </c>
      <c r="AB54" s="1285">
        <f t="shared" si="17"/>
        <v>-84.567434937581481</v>
      </c>
    </row>
    <row r="55" spans="2:28">
      <c r="B55" s="1281" t="s">
        <v>60</v>
      </c>
      <c r="C55" s="1286" t="s">
        <v>64</v>
      </c>
      <c r="D55" s="1220"/>
      <c r="E55" s="1209">
        <v>249.58465537031165</v>
      </c>
      <c r="F55" s="1209">
        <v>376.05159807089956</v>
      </c>
      <c r="G55" s="1282">
        <v>809.94902205844664</v>
      </c>
      <c r="H55" s="1274">
        <v>1536.5193815476066</v>
      </c>
      <c r="I55" s="1251">
        <f>AVERAGE(E55:G55)</f>
        <v>478.52842516655261</v>
      </c>
      <c r="J55" s="1177">
        <f>SUM([37]FP207!Q10:Q16)/3</f>
        <v>11.619722222222222</v>
      </c>
      <c r="K55" s="1223">
        <f>[37]FP207!C27</f>
        <v>15</v>
      </c>
      <c r="L55" s="1223">
        <f>[37]FP207!D27</f>
        <v>10</v>
      </c>
      <c r="M55" s="1223">
        <f>[37]FP207!E27</f>
        <v>5</v>
      </c>
      <c r="N55" s="1223">
        <f>[37]FP207!F27</f>
        <v>0</v>
      </c>
      <c r="O55" s="1276">
        <f>K55/(21/7)</f>
        <v>5</v>
      </c>
      <c r="P55" s="1276">
        <f t="shared" si="14"/>
        <v>66.666666666666657</v>
      </c>
      <c r="Q55" s="1276">
        <f t="shared" si="15"/>
        <v>33.333333333333329</v>
      </c>
      <c r="R55" s="1276">
        <f t="shared" si="16"/>
        <v>0</v>
      </c>
      <c r="S55" s="1223"/>
      <c r="T55" s="1208">
        <v>143.98663087697543</v>
      </c>
      <c r="U55" s="1209">
        <v>129.7794250454584</v>
      </c>
      <c r="V55" s="1210">
        <v>114.87419392224511</v>
      </c>
      <c r="W55" s="1203">
        <v>388.64024984467892</v>
      </c>
      <c r="X55" s="1204">
        <v>129.54674994822631</v>
      </c>
      <c r="Y55" s="1277">
        <f>[37]FP207!C34</f>
        <v>8</v>
      </c>
      <c r="Z55" s="1278">
        <f>AVERAGE([37]FP207!P18:P26)</f>
        <v>4.4070370370370364</v>
      </c>
      <c r="AA55" s="1284">
        <f t="shared" si="11"/>
        <v>-72.928097238291045</v>
      </c>
      <c r="AB55" s="1285">
        <f t="shared" si="17"/>
        <v>-62.07278493621159</v>
      </c>
    </row>
    <row r="56" spans="2:28">
      <c r="B56" s="1287" t="s">
        <v>60</v>
      </c>
      <c r="C56" s="1286" t="s">
        <v>67</v>
      </c>
      <c r="D56" s="1208">
        <v>2324.1012222202762</v>
      </c>
      <c r="E56" s="1209">
        <v>987.77856808014565</v>
      </c>
      <c r="F56" s="1209">
        <v>596.42044291109369</v>
      </c>
      <c r="G56" s="1282">
        <v>431.5218231769876</v>
      </c>
      <c r="H56" s="1274">
        <v>4339.8220563885034</v>
      </c>
      <c r="I56" s="1251">
        <f t="shared" si="12"/>
        <v>1084.9555140971258</v>
      </c>
      <c r="J56" s="1177">
        <f>SUM([37]FP303!Q7:Q16)/4</f>
        <v>11.103402777777777</v>
      </c>
      <c r="K56" s="1223">
        <f>[37]FP303!C27</f>
        <v>24</v>
      </c>
      <c r="L56" s="1223">
        <f>[37]FP303!D27</f>
        <v>24</v>
      </c>
      <c r="M56" s="1223">
        <f>[37]FP303!E27</f>
        <v>0</v>
      </c>
      <c r="N56" s="1223">
        <f>[37]FP303!F27</f>
        <v>0</v>
      </c>
      <c r="O56" s="1276">
        <f t="shared" si="13"/>
        <v>5.6000000000000005</v>
      </c>
      <c r="P56" s="1276">
        <f t="shared" si="14"/>
        <v>100</v>
      </c>
      <c r="Q56" s="1276">
        <f t="shared" si="15"/>
        <v>0</v>
      </c>
      <c r="R56" s="1276">
        <f t="shared" si="16"/>
        <v>0</v>
      </c>
      <c r="S56" s="1223"/>
      <c r="T56" s="1208">
        <v>373.49888328578726</v>
      </c>
      <c r="U56" s="1209">
        <v>332.52510568557722</v>
      </c>
      <c r="V56" s="1210">
        <v>772.52849292901419</v>
      </c>
      <c r="W56" s="1203">
        <v>1478.5524819003786</v>
      </c>
      <c r="X56" s="1204">
        <v>492.85082730012618</v>
      </c>
      <c r="Y56" s="1277">
        <f>[37]FP303!C33</f>
        <v>14</v>
      </c>
      <c r="Z56" s="1278">
        <f>AVERAGE([37]FP303!P18:P26)</f>
        <v>7.2061111111111105</v>
      </c>
      <c r="AA56" s="1284">
        <f t="shared" si="11"/>
        <v>-54.574098117721917</v>
      </c>
      <c r="AB56" s="1285">
        <f t="shared" si="17"/>
        <v>-35.099975608078104</v>
      </c>
    </row>
    <row r="57" spans="2:28">
      <c r="B57" s="1281" t="s">
        <v>60</v>
      </c>
      <c r="C57" s="1286" t="s">
        <v>68</v>
      </c>
      <c r="D57" s="1208">
        <v>743.58291106480203</v>
      </c>
      <c r="E57" s="1209">
        <v>317.2863231822077</v>
      </c>
      <c r="F57" s="1209">
        <v>650.48121140632145</v>
      </c>
      <c r="G57" s="1282">
        <v>113.60390322833061</v>
      </c>
      <c r="H57" s="1274">
        <v>1824.9543488816616</v>
      </c>
      <c r="I57" s="1251">
        <f t="shared" si="12"/>
        <v>456.23858722041541</v>
      </c>
      <c r="J57" s="1177">
        <f>SUM([37]FP304!Q7:Q16)/4</f>
        <v>6.268680555555556</v>
      </c>
      <c r="K57" s="1223">
        <f>[37]FP304!C27</f>
        <v>21</v>
      </c>
      <c r="L57" s="1223">
        <f>[37]FP304!D27</f>
        <v>14</v>
      </c>
      <c r="M57" s="1223">
        <f>[37]FP304!E27</f>
        <v>4</v>
      </c>
      <c r="N57" s="1223">
        <f>[37]FP304!F27</f>
        <v>3</v>
      </c>
      <c r="O57" s="1276">
        <f t="shared" si="13"/>
        <v>4.9000000000000004</v>
      </c>
      <c r="P57" s="1276">
        <f t="shared" si="14"/>
        <v>66.666666666666657</v>
      </c>
      <c r="Q57" s="1276">
        <f t="shared" si="15"/>
        <v>19.047619047619047</v>
      </c>
      <c r="R57" s="1276">
        <f t="shared" si="16"/>
        <v>14.285714285714285</v>
      </c>
      <c r="S57" s="1223"/>
      <c r="T57" s="1208">
        <v>130.11415143888209</v>
      </c>
      <c r="U57" s="1209">
        <v>295.8640573506479</v>
      </c>
      <c r="V57" s="1210">
        <v>359.03823919581134</v>
      </c>
      <c r="W57" s="1203">
        <v>785.0164479853413</v>
      </c>
      <c r="X57" s="1204">
        <v>261.67214932844712</v>
      </c>
      <c r="Y57" s="1277">
        <f>[37]FP304!C33</f>
        <v>13</v>
      </c>
      <c r="Z57" s="1278">
        <f>AVERAGE([37]FP304!P18:P26)</f>
        <v>7.692499999999999</v>
      </c>
      <c r="AA57" s="1284">
        <f t="shared" si="11"/>
        <v>-42.645765470505999</v>
      </c>
      <c r="AB57" s="1285">
        <f>((Z57-J57)/J57)*100</f>
        <v>22.713223808838006</v>
      </c>
    </row>
    <row r="58" spans="2:28">
      <c r="B58" s="1281" t="s">
        <v>60</v>
      </c>
      <c r="C58" s="1286" t="s">
        <v>71</v>
      </c>
      <c r="D58" s="1208">
        <v>1210.4719188294216</v>
      </c>
      <c r="E58" s="1209">
        <v>650.84205729345035</v>
      </c>
      <c r="F58" s="1209">
        <v>721.49111342498418</v>
      </c>
      <c r="G58" s="1282">
        <v>970.29030283830673</v>
      </c>
      <c r="H58" s="1274">
        <v>3553.095392386163</v>
      </c>
      <c r="I58" s="1251">
        <f t="shared" si="12"/>
        <v>888.27384809654075</v>
      </c>
      <c r="J58" s="1177">
        <f>SUM([37]FP440!Q7:Q16)/4</f>
        <v>13.732569444444444</v>
      </c>
      <c r="K58" s="1223">
        <f>[37]FP440!C27</f>
        <v>28</v>
      </c>
      <c r="L58" s="1223">
        <f>[37]FP440!D27</f>
        <v>15</v>
      </c>
      <c r="M58" s="1223">
        <f>[37]FP440!E27</f>
        <v>8</v>
      </c>
      <c r="N58" s="1223">
        <f>[37]FP440!F27</f>
        <v>4</v>
      </c>
      <c r="O58" s="1276">
        <f t="shared" si="13"/>
        <v>6.5333333333333332</v>
      </c>
      <c r="P58" s="1276">
        <f t="shared" si="14"/>
        <v>53.571428571428569</v>
      </c>
      <c r="Q58" s="1276">
        <f t="shared" si="15"/>
        <v>28.571428571428569</v>
      </c>
      <c r="R58" s="1276">
        <f t="shared" si="16"/>
        <v>14.285714285714285</v>
      </c>
      <c r="S58" s="1223"/>
      <c r="T58" s="1208">
        <v>322.35532440132221</v>
      </c>
      <c r="U58" s="1209">
        <v>249.52468757581627</v>
      </c>
      <c r="V58" s="1210">
        <v>322.92007720337864</v>
      </c>
      <c r="W58" s="1203">
        <v>894.80008918051703</v>
      </c>
      <c r="X58" s="1204">
        <v>298.2666963935057</v>
      </c>
      <c r="Y58" s="1277">
        <f>[37]FP440!C34</f>
        <v>11</v>
      </c>
      <c r="Z58" s="1278">
        <f>AVERAGE([37]FP440!P18:P26)</f>
        <v>5.994259259259259</v>
      </c>
      <c r="AA58" s="1284">
        <f t="shared" si="11"/>
        <v>-66.421763172173343</v>
      </c>
      <c r="AB58" s="1285">
        <f t="shared" si="17"/>
        <v>-56.350053181895568</v>
      </c>
    </row>
    <row r="59" spans="2:28">
      <c r="B59" s="1281" t="s">
        <v>60</v>
      </c>
      <c r="C59" s="1286" t="s">
        <v>72</v>
      </c>
      <c r="D59" s="1208">
        <v>658.92904367581491</v>
      </c>
      <c r="E59" s="1209">
        <v>514.42670328521228</v>
      </c>
      <c r="F59" s="1209">
        <v>482.99589034760584</v>
      </c>
      <c r="G59" s="1282">
        <v>910.1671975382244</v>
      </c>
      <c r="H59" s="1274">
        <v>2566.5188348468573</v>
      </c>
      <c r="I59" s="1251">
        <f t="shared" si="12"/>
        <v>641.62970871171433</v>
      </c>
      <c r="J59" s="1177">
        <f>SUM([37]FP450!P6:P17)/4</f>
        <v>13.516041666666666</v>
      </c>
      <c r="K59" s="1223">
        <f>[37]FP450!C27</f>
        <v>34</v>
      </c>
      <c r="L59" s="1223">
        <f>[37]FP450!D27</f>
        <v>18</v>
      </c>
      <c r="M59" s="1223">
        <f>[37]FP450!E27</f>
        <v>10</v>
      </c>
      <c r="N59" s="1223">
        <f>[37]FP450!F27</f>
        <v>5</v>
      </c>
      <c r="O59" s="1276">
        <f t="shared" si="13"/>
        <v>7.9333333333333336</v>
      </c>
      <c r="P59" s="1276">
        <f t="shared" si="14"/>
        <v>52.941176470588239</v>
      </c>
      <c r="Q59" s="1276">
        <f t="shared" si="15"/>
        <v>29.411764705882355</v>
      </c>
      <c r="R59" s="1276">
        <f t="shared" si="16"/>
        <v>14.705882352941178</v>
      </c>
      <c r="S59" s="1223"/>
      <c r="T59" s="1208">
        <v>257.70041659682653</v>
      </c>
      <c r="U59" s="1209">
        <v>276.374809721247</v>
      </c>
      <c r="V59" s="1210">
        <v>139.06247582645688</v>
      </c>
      <c r="W59" s="1203">
        <v>673.13770214453041</v>
      </c>
      <c r="X59" s="1204">
        <v>224.37923404817701</v>
      </c>
      <c r="Y59" s="1277">
        <f>[37]FP450!C34</f>
        <v>13</v>
      </c>
      <c r="Z59" s="1278">
        <f>AVERAGE([37]FP450!P18:P26)</f>
        <v>7.3942592592592584</v>
      </c>
      <c r="AA59" s="1284">
        <f t="shared" si="11"/>
        <v>-65.029793508362772</v>
      </c>
      <c r="AB59" s="1285">
        <f t="shared" si="17"/>
        <v>-45.292716302473231</v>
      </c>
    </row>
    <row r="60" spans="2:28" ht="16" thickBot="1">
      <c r="B60" s="1288" t="s">
        <v>60</v>
      </c>
      <c r="C60" s="1286" t="s">
        <v>73</v>
      </c>
      <c r="D60" s="1289"/>
      <c r="E60" s="1290"/>
      <c r="F60" s="1232">
        <v>642.79092146117614</v>
      </c>
      <c r="G60" s="1291">
        <v>869.26878496592099</v>
      </c>
      <c r="H60" s="1274">
        <v>1512.0597064270971</v>
      </c>
      <c r="I60" s="1251">
        <f>AVERAGE(D60:G60)</f>
        <v>756.02985321354856</v>
      </c>
      <c r="J60" s="1177">
        <f>SUM([37]FP460!P6:P17)/4</f>
        <v>13.558680555555556</v>
      </c>
      <c r="K60" s="1223">
        <f>[37]FP460!C27</f>
        <v>33</v>
      </c>
      <c r="L60" s="1223">
        <f>[37]FP460!D27</f>
        <v>17</v>
      </c>
      <c r="M60" s="1223">
        <f>[37]FP460!E27</f>
        <v>10</v>
      </c>
      <c r="N60" s="1223">
        <f>[37]FP460!F27</f>
        <v>5</v>
      </c>
      <c r="O60" s="1276">
        <f t="shared" si="13"/>
        <v>7.7</v>
      </c>
      <c r="P60" s="1276">
        <f t="shared" si="14"/>
        <v>51.515151515151516</v>
      </c>
      <c r="Q60" s="1276">
        <f t="shared" si="15"/>
        <v>30.303030303030305</v>
      </c>
      <c r="R60" s="1276">
        <f t="shared" si="16"/>
        <v>15.151515151515152</v>
      </c>
      <c r="S60" s="1223"/>
      <c r="T60" s="1231">
        <v>428.41061894264141</v>
      </c>
      <c r="U60" s="1232">
        <v>350.81414472266079</v>
      </c>
      <c r="V60" s="1233">
        <v>217.10232938649872</v>
      </c>
      <c r="W60" s="1239">
        <v>996.32709305180083</v>
      </c>
      <c r="X60" s="1235">
        <v>332.10903101726694</v>
      </c>
      <c r="Y60" s="1277">
        <f>[37]FP460!C34</f>
        <v>15</v>
      </c>
      <c r="Z60" s="1278">
        <f>AVERAGE([37]FP460!P18:P26)</f>
        <v>8.4736111111111097</v>
      </c>
      <c r="AA60" s="1292">
        <f t="shared" si="11"/>
        <v>-56.071968639119433</v>
      </c>
      <c r="AB60" s="1293">
        <f t="shared" si="17"/>
        <v>-37.504161438193051</v>
      </c>
    </row>
    <row r="61" spans="2:28">
      <c r="C61" s="1294" t="s">
        <v>318</v>
      </c>
      <c r="D61" s="1242">
        <f>AVERAGE(D52:D60)</f>
        <v>1058.4490222331658</v>
      </c>
      <c r="E61" s="1243">
        <f>AVERAGE(E52:E60)</f>
        <v>713.99549115584352</v>
      </c>
      <c r="F61" s="1243">
        <f t="shared" ref="F61:R61" si="18">AVERAGE(F52:F60)</f>
        <v>564.69018057780386</v>
      </c>
      <c r="G61" s="1244">
        <f t="shared" si="18"/>
        <v>663.21212569395766</v>
      </c>
      <c r="H61" s="1295">
        <f t="shared" si="18"/>
        <v>2697.0179941525239</v>
      </c>
      <c r="I61" s="1295">
        <f t="shared" si="18"/>
        <v>726.74488813662254</v>
      </c>
      <c r="J61" s="1296">
        <f t="shared" si="18"/>
        <v>12.01860339506173</v>
      </c>
      <c r="K61" s="1296">
        <f t="shared" si="18"/>
        <v>25.888888888888889</v>
      </c>
      <c r="L61" s="1296">
        <f t="shared" si="18"/>
        <v>15.777777777777779</v>
      </c>
      <c r="M61" s="1296">
        <f t="shared" si="18"/>
        <v>6.5555555555555554</v>
      </c>
      <c r="N61" s="1296">
        <f t="shared" si="18"/>
        <v>3.1111111111111112</v>
      </c>
      <c r="O61" s="1296">
        <f t="shared" si="18"/>
        <v>6.2074074074074082</v>
      </c>
      <c r="P61" s="1296">
        <f t="shared" si="18"/>
        <v>62.372557444874218</v>
      </c>
      <c r="Q61" s="1296">
        <f t="shared" si="18"/>
        <v>24.900691740801097</v>
      </c>
      <c r="R61" s="1297">
        <f t="shared" si="18"/>
        <v>11.283285932725919</v>
      </c>
      <c r="T61" s="1242">
        <f>AVERAGE(T52:T60)</f>
        <v>237.20152371843506</v>
      </c>
      <c r="U61" s="1243">
        <f>AVERAGE(U52:U60)</f>
        <v>282.09559290667698</v>
      </c>
      <c r="V61" s="1244">
        <f>AVERAGE(V52:V60)</f>
        <v>272.72399797087519</v>
      </c>
      <c r="W61" s="1245">
        <f>AVERAGE(W52:W60)</f>
        <v>792.02111459598711</v>
      </c>
      <c r="X61" s="1246">
        <f>AVERAGE(X52:X60)</f>
        <v>264.00703819866243</v>
      </c>
      <c r="Y61" s="1298">
        <f t="shared" ref="Y61:AB61" si="19">AVERAGE(Y52:Y60)</f>
        <v>11.888888888888889</v>
      </c>
      <c r="Z61" s="1298">
        <f t="shared" si="19"/>
        <v>6.2861213991769542</v>
      </c>
      <c r="AA61" s="1298">
        <f t="shared" si="19"/>
        <v>-63.97678584105558</v>
      </c>
      <c r="AB61" s="1246">
        <f t="shared" si="19"/>
        <v>-45.254802581585309</v>
      </c>
    </row>
    <row r="62" spans="2:28">
      <c r="C62" s="1299" t="s">
        <v>13</v>
      </c>
      <c r="D62" s="1250">
        <f>STDEVA(D52:D60)</f>
        <v>717.39630439604559</v>
      </c>
      <c r="E62" s="1251">
        <f t="shared" ref="E62:R62" si="20">STDEVA(E52:E60)</f>
        <v>402.19205436405281</v>
      </c>
      <c r="F62" s="1251">
        <f t="shared" si="20"/>
        <v>119.62507582371822</v>
      </c>
      <c r="G62" s="1252">
        <f t="shared" si="20"/>
        <v>329.72052144082329</v>
      </c>
      <c r="H62" s="1300">
        <f t="shared" si="20"/>
        <v>1187.2379139520381</v>
      </c>
      <c r="I62" s="1300">
        <f t="shared" si="20"/>
        <v>262.92476805312947</v>
      </c>
      <c r="J62" s="1301">
        <f t="shared" si="20"/>
        <v>3.3534017514131365</v>
      </c>
      <c r="K62" s="1301">
        <f t="shared" si="20"/>
        <v>5.9675045966560498</v>
      </c>
      <c r="L62" s="1301">
        <f t="shared" si="20"/>
        <v>3.993049516903648</v>
      </c>
      <c r="M62" s="1301">
        <f t="shared" si="20"/>
        <v>3.5039660069381067</v>
      </c>
      <c r="N62" s="1301">
        <f t="shared" si="20"/>
        <v>1.9002923751652299</v>
      </c>
      <c r="O62" s="1301">
        <f t="shared" si="20"/>
        <v>1.1117775778976835</v>
      </c>
      <c r="P62" s="1301">
        <f t="shared" si="20"/>
        <v>15.898952201519792</v>
      </c>
      <c r="Q62" s="1301">
        <f t="shared" si="20"/>
        <v>11.379373653237737</v>
      </c>
      <c r="R62" s="1301">
        <f t="shared" si="20"/>
        <v>6.6552713576721745</v>
      </c>
      <c r="T62" s="1250">
        <f>STDEVA(T52:T60)</f>
        <v>129.71870509887378</v>
      </c>
      <c r="U62" s="1251">
        <f>STDEVA(U52:U60)</f>
        <v>135.37305953320745</v>
      </c>
      <c r="V62" s="1252">
        <f>STDEVA(V52:V60)</f>
        <v>212.99154965422761</v>
      </c>
      <c r="W62" s="1253">
        <f>STDEVA(W52:W60)</f>
        <v>376.46756660133326</v>
      </c>
      <c r="X62" s="1254">
        <f>STDEVA(X52:X60)</f>
        <v>125.48918886711098</v>
      </c>
      <c r="Y62" s="1254">
        <f t="shared" ref="Y62:AB62" si="21">STDEVA(Y52:Y60)</f>
        <v>3.3706247360261146</v>
      </c>
      <c r="Z62" s="1254">
        <f t="shared" si="21"/>
        <v>2.5304548127097428</v>
      </c>
      <c r="AA62" s="1254">
        <f t="shared" si="21"/>
        <v>11.134709102925754</v>
      </c>
      <c r="AB62" s="1300">
        <f t="shared" si="21"/>
        <v>29.658873704444119</v>
      </c>
    </row>
    <row r="63" spans="2:28" ht="16" thickBot="1">
      <c r="C63" s="1302" t="s">
        <v>14</v>
      </c>
      <c r="D63" s="1258">
        <f>D62/(SQRT(COUNT(D52:D60)))</f>
        <v>271.15031612981852</v>
      </c>
      <c r="E63" s="1259">
        <f t="shared" ref="E63:G63" si="22">E62/(SQRT(COUNT(E52:E60)))</f>
        <v>142.19636449008516</v>
      </c>
      <c r="F63" s="1259">
        <f t="shared" si="22"/>
        <v>39.875025274572742</v>
      </c>
      <c r="G63" s="1260">
        <f t="shared" si="22"/>
        <v>109.90684048027443</v>
      </c>
      <c r="H63" s="1303">
        <f>H62/SQRT(COUNT(H52:H60))</f>
        <v>395.745971317346</v>
      </c>
      <c r="I63" s="1303">
        <f>I62/SQRT(COUNT(I52:I60))</f>
        <v>87.641589351043152</v>
      </c>
      <c r="J63" s="1304">
        <f>J62/SQRT(COUNT(J52:J60))</f>
        <v>1.1178005838043787</v>
      </c>
      <c r="K63" s="1304">
        <f>K62/SQRT(COUNT(K52:K60))</f>
        <v>1.98916819888535</v>
      </c>
      <c r="L63" s="1304">
        <f t="shared" ref="L63:R63" si="23">L62/SQRT(COUNT(L52:L60))</f>
        <v>1.3310165056345493</v>
      </c>
      <c r="M63" s="1304">
        <f t="shared" si="23"/>
        <v>1.1679886689793688</v>
      </c>
      <c r="N63" s="1304">
        <f t="shared" si="23"/>
        <v>0.63343079172174332</v>
      </c>
      <c r="O63" s="1304">
        <f t="shared" si="23"/>
        <v>0.37059252596589448</v>
      </c>
      <c r="P63" s="1304">
        <f t="shared" si="23"/>
        <v>5.2996507338399308</v>
      </c>
      <c r="Q63" s="1304">
        <f t="shared" si="23"/>
        <v>3.7931245510792455</v>
      </c>
      <c r="R63" s="1304">
        <f t="shared" si="23"/>
        <v>2.218423785890725</v>
      </c>
      <c r="T63" s="1258">
        <f t="shared" ref="T63:AB63" si="24">T62/(SQRT(COUNT(T52:T60)))</f>
        <v>43.239568366291259</v>
      </c>
      <c r="U63" s="1259">
        <f t="shared" si="24"/>
        <v>45.12435317773582</v>
      </c>
      <c r="V63" s="1260">
        <f t="shared" si="24"/>
        <v>70.997183218075875</v>
      </c>
      <c r="W63" s="1261">
        <f t="shared" si="24"/>
        <v>125.48918886711108</v>
      </c>
      <c r="X63" s="1262">
        <f t="shared" si="24"/>
        <v>41.82972962237033</v>
      </c>
      <c r="Y63" s="1262">
        <f t="shared" si="24"/>
        <v>1.1235415786753715</v>
      </c>
      <c r="Z63" s="1262">
        <f t="shared" si="24"/>
        <v>0.84348493756991427</v>
      </c>
      <c r="AA63" s="1262">
        <f t="shared" si="24"/>
        <v>3.7115697009752515</v>
      </c>
      <c r="AB63" s="1303">
        <f t="shared" si="24"/>
        <v>9.8862912348147063</v>
      </c>
    </row>
    <row r="64" spans="2:28">
      <c r="T64" s="1305"/>
      <c r="U64" s="1305"/>
      <c r="V64" s="1305"/>
      <c r="W64" s="1305"/>
      <c r="X64" s="1305"/>
      <c r="AA64" s="1306"/>
      <c r="AB64" s="1306"/>
    </row>
    <row r="65" spans="2:28">
      <c r="T65" s="1305"/>
      <c r="U65" s="1305"/>
      <c r="V65" s="1305"/>
      <c r="W65" s="1305"/>
      <c r="X65" s="1305"/>
      <c r="AA65" s="1306"/>
      <c r="AB65" s="1306"/>
    </row>
    <row r="66" spans="2:28" ht="16" thickBot="1">
      <c r="T66" s="1305"/>
      <c r="U66" s="1305"/>
      <c r="V66" s="1305"/>
      <c r="W66" s="1305"/>
      <c r="X66" s="1305"/>
      <c r="AA66" s="1306"/>
      <c r="AB66" s="1306"/>
    </row>
    <row r="67" spans="2:28">
      <c r="B67" s="1307" t="s">
        <v>61</v>
      </c>
      <c r="C67" s="1308" t="s">
        <v>58</v>
      </c>
      <c r="D67" s="1195">
        <v>597.81457897273708</v>
      </c>
      <c r="E67" s="1196">
        <v>588.59334847942762</v>
      </c>
      <c r="F67" s="1196">
        <v>747.37531218899369</v>
      </c>
      <c r="G67" s="1273">
        <v>1001.372993497938</v>
      </c>
      <c r="H67" s="1242">
        <v>2935.156233139096</v>
      </c>
      <c r="I67" s="1199">
        <f>AVERAGE(D67:G67)</f>
        <v>733.789058284774</v>
      </c>
      <c r="J67" s="1177">
        <f>SUM([37]FP102!Q7:Q16)/4</f>
        <v>12.349097222222222</v>
      </c>
      <c r="K67" s="1223">
        <f>[37]FP102!C27</f>
        <v>30</v>
      </c>
      <c r="L67" s="1223">
        <f>[37]FP102!D27</f>
        <v>20</v>
      </c>
      <c r="M67" s="1223">
        <f>[37]FP102!E27</f>
        <v>5</v>
      </c>
      <c r="N67" s="1223">
        <f>[37]FP102!F27</f>
        <v>4</v>
      </c>
      <c r="O67" s="1276">
        <f>K67/(30/7)</f>
        <v>7</v>
      </c>
      <c r="P67" s="1276">
        <f>L67/K67*100</f>
        <v>66.666666666666657</v>
      </c>
      <c r="Q67" s="1276">
        <f>M67/K67*100</f>
        <v>16.666666666666664</v>
      </c>
      <c r="R67" s="1276">
        <f>N67/K67*100</f>
        <v>13.333333333333334</v>
      </c>
      <c r="T67" s="1195">
        <v>262.94231370956629</v>
      </c>
      <c r="U67" s="1196">
        <v>251.67231211146176</v>
      </c>
      <c r="V67" s="1197">
        <v>250.25137306120482</v>
      </c>
      <c r="W67" s="1309">
        <v>764.86599888223293</v>
      </c>
      <c r="X67" s="1199">
        <v>254.9553329607443</v>
      </c>
      <c r="Y67" s="1310">
        <f>[37]FP102!C34</f>
        <v>9</v>
      </c>
      <c r="Z67" s="1311">
        <f>AVERAGE([37]FP102!P18:P26)</f>
        <v>4.8688888888888888</v>
      </c>
      <c r="AA67" s="1312">
        <f>((X67-I67)/I67)*100</f>
        <v>-65.254955755718086</v>
      </c>
      <c r="AB67" s="1280">
        <f t="shared" ref="AB67:AB73" si="25">((Z67-J67)/J67)*100</f>
        <v>-60.572916373779009</v>
      </c>
    </row>
    <row r="68" spans="2:28">
      <c r="B68" s="1313" t="s">
        <v>61</v>
      </c>
      <c r="C68" s="1314" t="s">
        <v>63</v>
      </c>
      <c r="D68" s="1208">
        <v>884.90232999618081</v>
      </c>
      <c r="E68" s="1209">
        <v>878.24829178517325</v>
      </c>
      <c r="F68" s="1209">
        <v>470.93551606709013</v>
      </c>
      <c r="G68" s="1282">
        <v>622.38012329719095</v>
      </c>
      <c r="H68" s="1315">
        <v>2856.4662611456351</v>
      </c>
      <c r="I68" s="1255">
        <f>AVERAGE(D68:G68)</f>
        <v>714.11656528640879</v>
      </c>
      <c r="J68" s="1177">
        <f>SUM([37]FP204!Q7:Q16)/3</f>
        <v>12.012592592592595</v>
      </c>
      <c r="K68" s="1223">
        <f>[37]FP204!C27</f>
        <v>29</v>
      </c>
      <c r="L68" s="1223">
        <f>[37]FP204!D27</f>
        <v>13</v>
      </c>
      <c r="M68" s="1223">
        <f>[37]FP204!E27</f>
        <v>12</v>
      </c>
      <c r="N68" s="1223">
        <f>[37]FP204!F27</f>
        <v>4</v>
      </c>
      <c r="O68" s="1276">
        <f t="shared" ref="O68:O73" si="26">K68/(30/7)</f>
        <v>6.7666666666666666</v>
      </c>
      <c r="P68" s="1276">
        <f t="shared" ref="P68:P73" si="27">L68/K68*100</f>
        <v>44.827586206896555</v>
      </c>
      <c r="Q68" s="1276">
        <f t="shared" ref="Q68:Q73" si="28">M68/K68*100</f>
        <v>41.379310344827587</v>
      </c>
      <c r="R68" s="1276">
        <f t="shared" ref="R68:R73" si="29">N68/K68*100</f>
        <v>13.793103448275861</v>
      </c>
      <c r="T68" s="1208">
        <v>158.49457515687945</v>
      </c>
      <c r="U68" s="1316">
        <v>194.50321553525873</v>
      </c>
      <c r="V68" s="1210">
        <v>209.73567296034156</v>
      </c>
      <c r="W68" s="1203">
        <v>562.73346365247971</v>
      </c>
      <c r="X68" s="1204">
        <v>187.57782121749324</v>
      </c>
      <c r="Y68" s="1277">
        <f>[37]FP204!C34</f>
        <v>15</v>
      </c>
      <c r="Z68" s="1278">
        <f>AVERAGE([37]FP204!P18:P26)</f>
        <v>7.3768518518518524</v>
      </c>
      <c r="AA68" s="1317">
        <f t="shared" ref="AA68:AA73" si="30">((X68-I68)/I68)*100</f>
        <v>-73.732884750788287</v>
      </c>
      <c r="AB68" s="1317">
        <f t="shared" si="25"/>
        <v>-38.590676450638227</v>
      </c>
    </row>
    <row r="69" spans="2:28">
      <c r="B69" s="1313" t="s">
        <v>61</v>
      </c>
      <c r="C69" s="1314" t="s">
        <v>65</v>
      </c>
      <c r="D69" s="1208">
        <v>1202.1948213220751</v>
      </c>
      <c r="E69" s="1209">
        <v>711.26645404244755</v>
      </c>
      <c r="F69" s="1209">
        <v>292.88705228268822</v>
      </c>
      <c r="G69" s="1282">
        <v>831.28803118021324</v>
      </c>
      <c r="H69" s="1315">
        <v>3037.6363588274239</v>
      </c>
      <c r="I69" s="1255">
        <f>AVERAGE(D69:G69)</f>
        <v>759.40908970685598</v>
      </c>
      <c r="J69" s="1177">
        <f>SUM([37]FP301!Q7:Q17)/4</f>
        <v>16.001944444444444</v>
      </c>
      <c r="K69" s="1223">
        <f>[37]FP301!C27</f>
        <v>27</v>
      </c>
      <c r="L69" s="1223">
        <f>[37]FP301!D27</f>
        <v>27</v>
      </c>
      <c r="M69" s="1223">
        <f>[37]FP301!E27</f>
        <v>0</v>
      </c>
      <c r="N69" s="1223">
        <f>[37]FP301!F27</f>
        <v>0</v>
      </c>
      <c r="O69" s="1276">
        <f t="shared" si="26"/>
        <v>6.3</v>
      </c>
      <c r="P69" s="1276">
        <f t="shared" si="27"/>
        <v>100</v>
      </c>
      <c r="Q69" s="1276">
        <f t="shared" si="28"/>
        <v>0</v>
      </c>
      <c r="R69" s="1276">
        <f t="shared" si="29"/>
        <v>0</v>
      </c>
      <c r="T69" s="1208">
        <v>213.99732360094407</v>
      </c>
      <c r="U69" s="1209">
        <v>250.44744279758299</v>
      </c>
      <c r="V69" s="1210">
        <v>610.63413138508986</v>
      </c>
      <c r="W69" s="1203">
        <v>1075.0788977836169</v>
      </c>
      <c r="X69" s="1204">
        <v>358.35963259453894</v>
      </c>
      <c r="Y69" s="1277">
        <f>[37]FP301!C33</f>
        <v>20</v>
      </c>
      <c r="Z69" s="1278">
        <f>AVERAGE([37]FP301!P18:P26)</f>
        <v>9.9736111111111097</v>
      </c>
      <c r="AA69" s="1317">
        <f t="shared" si="30"/>
        <v>-52.810726464589528</v>
      </c>
      <c r="AB69" s="1317">
        <f t="shared" si="25"/>
        <v>-37.67250507750795</v>
      </c>
    </row>
    <row r="70" spans="2:28">
      <c r="B70" s="1318" t="s">
        <v>61</v>
      </c>
      <c r="C70" s="1314" t="s">
        <v>66</v>
      </c>
      <c r="D70" s="1208">
        <v>639.53501144498068</v>
      </c>
      <c r="E70" s="1209">
        <v>537.42994013138377</v>
      </c>
      <c r="F70" s="1209">
        <v>425.0990562788428</v>
      </c>
      <c r="G70" s="1319"/>
      <c r="H70" s="1315">
        <v>1602.0640078552074</v>
      </c>
      <c r="I70" s="1255">
        <f>AVERAGE(D70:F70)</f>
        <v>534.02133595173575</v>
      </c>
      <c r="J70" s="1177">
        <f>SUM([37]FP302!Q7:Q13)/3</f>
        <v>9.1841666666666679</v>
      </c>
      <c r="K70" s="1223">
        <f>[37]FP302!C27</f>
        <v>15</v>
      </c>
      <c r="L70" s="1223">
        <f>[37]FP302!D27</f>
        <v>14</v>
      </c>
      <c r="M70" s="1223">
        <f>[37]FP302!E27</f>
        <v>1</v>
      </c>
      <c r="N70" s="1223">
        <f>[37]FP302!F27</f>
        <v>0</v>
      </c>
      <c r="O70" s="1276">
        <f t="shared" si="26"/>
        <v>3.5</v>
      </c>
      <c r="P70" s="1276">
        <f t="shared" si="27"/>
        <v>93.333333333333329</v>
      </c>
      <c r="Q70" s="1276">
        <f t="shared" si="28"/>
        <v>6.666666666666667</v>
      </c>
      <c r="R70" s="1276">
        <f t="shared" si="29"/>
        <v>0</v>
      </c>
      <c r="T70" s="1208">
        <v>125.37570249705269</v>
      </c>
      <c r="U70" s="1209">
        <v>180.84806562847112</v>
      </c>
      <c r="V70" s="1210">
        <v>516.81197255543827</v>
      </c>
      <c r="W70" s="1203">
        <v>823.03574068096214</v>
      </c>
      <c r="X70" s="1204">
        <v>274.34524689365406</v>
      </c>
      <c r="Y70" s="1277">
        <f>[37]FP302!C33</f>
        <v>9</v>
      </c>
      <c r="Z70" s="1278">
        <f>AVERAGE([37]FP302!P18:P26)</f>
        <v>6.110555555555556</v>
      </c>
      <c r="AA70" s="1317">
        <f t="shared" si="30"/>
        <v>-48.62653822534741</v>
      </c>
      <c r="AB70" s="1317">
        <f t="shared" si="25"/>
        <v>-33.466412606236581</v>
      </c>
    </row>
    <row r="71" spans="2:28">
      <c r="B71" s="1313" t="s">
        <v>61</v>
      </c>
      <c r="C71" s="1314" t="s">
        <v>69</v>
      </c>
      <c r="D71" s="1208">
        <v>1631.0618422090665</v>
      </c>
      <c r="E71" s="1209">
        <v>1563.4289407196125</v>
      </c>
      <c r="F71" s="1209">
        <v>1212.1270971566032</v>
      </c>
      <c r="G71" s="1282">
        <v>1627.8056184243851</v>
      </c>
      <c r="H71" s="1315">
        <v>6034.4234985096673</v>
      </c>
      <c r="I71" s="1255">
        <f>AVERAGE(D71:G71)</f>
        <v>1508.6058746274168</v>
      </c>
      <c r="J71" s="1177">
        <f>SUM([37]FP410!Q7:Q17)/4</f>
        <v>19.057083333333331</v>
      </c>
      <c r="K71" s="1223">
        <f>[37]FP410!C27</f>
        <v>26</v>
      </c>
      <c r="L71" s="1223">
        <f>[37]FP410!D27</f>
        <v>12</v>
      </c>
      <c r="M71" s="1223">
        <f>[37]FP410!E27</f>
        <v>9</v>
      </c>
      <c r="N71" s="1223">
        <f>[37]FP410!F27</f>
        <v>4</v>
      </c>
      <c r="O71" s="1276">
        <f t="shared" si="26"/>
        <v>6.0666666666666664</v>
      </c>
      <c r="P71" s="1276">
        <f t="shared" si="27"/>
        <v>46.153846153846153</v>
      </c>
      <c r="Q71" s="1276">
        <f t="shared" si="28"/>
        <v>34.615384615384613</v>
      </c>
      <c r="R71" s="1276">
        <f t="shared" si="29"/>
        <v>15.384615384615385</v>
      </c>
      <c r="T71" s="1208">
        <v>496.9724271996804</v>
      </c>
      <c r="U71" s="1209">
        <v>440.69813377105595</v>
      </c>
      <c r="V71" s="1210">
        <v>701.07565648760294</v>
      </c>
      <c r="W71" s="1203">
        <v>1638.7462174583393</v>
      </c>
      <c r="X71" s="1204">
        <v>546.24873915277976</v>
      </c>
      <c r="Y71" s="1277">
        <f>[37]FP410!C34</f>
        <v>16</v>
      </c>
      <c r="Z71" s="1278">
        <f>AVERAGE([37]FP410!P18:P26)</f>
        <v>9.1016666666666683</v>
      </c>
      <c r="AA71" s="1317">
        <f t="shared" si="30"/>
        <v>-63.79115656780219</v>
      </c>
      <c r="AB71" s="1317">
        <f t="shared" si="25"/>
        <v>-52.239980759560076</v>
      </c>
    </row>
    <row r="72" spans="2:28">
      <c r="B72" s="1313" t="s">
        <v>61</v>
      </c>
      <c r="C72" s="1314" t="s">
        <v>70</v>
      </c>
      <c r="D72" s="1208">
        <v>1327.7486432494723</v>
      </c>
      <c r="E72" s="1209">
        <v>1263.1644466184084</v>
      </c>
      <c r="F72" s="1209">
        <v>1087.7065798808544</v>
      </c>
      <c r="G72" s="1282">
        <v>995.02589902355339</v>
      </c>
      <c r="H72" s="1315">
        <v>4673.6455687722882</v>
      </c>
      <c r="I72" s="1255">
        <f>AVERAGE(D72:G72)</f>
        <v>1168.4113921930721</v>
      </c>
      <c r="J72" s="1177">
        <f>SUM([37]FP420!Q7:Q16)/4</f>
        <v>18.232083333333335</v>
      </c>
      <c r="K72" s="1223">
        <f>[37]FP420!C27</f>
        <v>29</v>
      </c>
      <c r="L72" s="1223">
        <f>[37]FP420!D27</f>
        <v>10</v>
      </c>
      <c r="M72" s="1223">
        <f>[37]FP420!E27</f>
        <v>13</v>
      </c>
      <c r="N72" s="1223">
        <f>[37]FP420!F27</f>
        <v>6</v>
      </c>
      <c r="O72" s="1276">
        <f t="shared" si="26"/>
        <v>6.7666666666666666</v>
      </c>
      <c r="P72" s="1276">
        <f t="shared" si="27"/>
        <v>34.482758620689658</v>
      </c>
      <c r="Q72" s="1276">
        <f t="shared" si="28"/>
        <v>44.827586206896555</v>
      </c>
      <c r="R72" s="1276">
        <f t="shared" si="29"/>
        <v>20.689655172413794</v>
      </c>
      <c r="T72" s="1208">
        <v>466.74992086926426</v>
      </c>
      <c r="U72" s="1209">
        <v>289.55130660043005</v>
      </c>
      <c r="V72" s="1210">
        <v>355.67709280024559</v>
      </c>
      <c r="W72" s="1203">
        <v>1111.97832026994</v>
      </c>
      <c r="X72" s="1204">
        <v>370.65944008998002</v>
      </c>
      <c r="Y72" s="1277">
        <f>[37]FP420!C34</f>
        <v>10</v>
      </c>
      <c r="Z72" s="1278">
        <f>AVERAGE([37]FP420!P18:P26)</f>
        <v>5.4087962962962957</v>
      </c>
      <c r="AA72" s="1317">
        <f t="shared" si="30"/>
        <v>-68.276632480083606</v>
      </c>
      <c r="AB72" s="1317">
        <f t="shared" si="25"/>
        <v>-70.333635507207745</v>
      </c>
    </row>
    <row r="73" spans="2:28" ht="16" thickBot="1">
      <c r="B73" s="1320" t="s">
        <v>61</v>
      </c>
      <c r="C73" s="1321" t="s">
        <v>74</v>
      </c>
      <c r="D73" s="1231">
        <v>925.36215292034103</v>
      </c>
      <c r="E73" s="1232">
        <v>955.70073088644563</v>
      </c>
      <c r="F73" s="1232">
        <v>376.35937730528207</v>
      </c>
      <c r="G73" s="1291">
        <v>769.25854764182986</v>
      </c>
      <c r="H73" s="1322">
        <v>3026.6808087538984</v>
      </c>
      <c r="I73" s="1263">
        <f>AVERAGE(D73:G73)</f>
        <v>756.6702021884746</v>
      </c>
      <c r="J73" s="1177">
        <f>SUM([37]FP470!Q7:Q16)/4</f>
        <v>10.156527777777779</v>
      </c>
      <c r="K73" s="1223">
        <f>[37]FP470!C27</f>
        <v>29</v>
      </c>
      <c r="L73" s="1223">
        <f>[37]FP470!D27</f>
        <v>11</v>
      </c>
      <c r="M73" s="1223">
        <f>[37]FP470!E27</f>
        <v>8</v>
      </c>
      <c r="N73" s="1223">
        <f>[37]FP470!F27</f>
        <v>9</v>
      </c>
      <c r="O73" s="1276">
        <f t="shared" si="26"/>
        <v>6.7666666666666666</v>
      </c>
      <c r="P73" s="1276">
        <f t="shared" si="27"/>
        <v>37.931034482758619</v>
      </c>
      <c r="Q73" s="1276">
        <f t="shared" si="28"/>
        <v>27.586206896551722</v>
      </c>
      <c r="R73" s="1276">
        <f t="shared" si="29"/>
        <v>31.03448275862069</v>
      </c>
      <c r="T73" s="1231">
        <v>313.56483015247227</v>
      </c>
      <c r="U73" s="1232">
        <v>201.09425416920732</v>
      </c>
      <c r="V73" s="1233">
        <v>338.23534992274477</v>
      </c>
      <c r="W73" s="1239">
        <v>852.89443424442425</v>
      </c>
      <c r="X73" s="1235">
        <v>284.2981447481414</v>
      </c>
      <c r="Y73" s="1277">
        <f>[37]FP470!C34</f>
        <v>12</v>
      </c>
      <c r="Z73" s="1278">
        <f>AVERAGE([37]FP470!P18:P26)</f>
        <v>4.8172222222222212</v>
      </c>
      <c r="AA73" s="1285">
        <f t="shared" si="30"/>
        <v>-62.427733519057327</v>
      </c>
      <c r="AB73" s="1317">
        <f t="shared" si="25"/>
        <v>-52.570186114567818</v>
      </c>
    </row>
    <row r="74" spans="2:28">
      <c r="C74" s="1294" t="s">
        <v>318</v>
      </c>
      <c r="D74" s="1242">
        <f>AVERAGE(D67:D73)</f>
        <v>1029.8027685878362</v>
      </c>
      <c r="E74" s="1243">
        <f t="shared" ref="E74:G74" si="31">AVERAGE(E67:E73)</f>
        <v>928.2617360946997</v>
      </c>
      <c r="F74" s="1243">
        <f t="shared" si="31"/>
        <v>658.92714159433638</v>
      </c>
      <c r="G74" s="1244">
        <f t="shared" si="31"/>
        <v>974.52186884418506</v>
      </c>
      <c r="H74" s="1295">
        <f>AVERAGE(H67:H73)</f>
        <v>3452.2961052861742</v>
      </c>
      <c r="I74" s="1295">
        <f>AVERAGE(I67:I73)</f>
        <v>882.14621689124829</v>
      </c>
      <c r="J74" s="1296">
        <f>AVERAGE(J67:J73)</f>
        <v>13.856213624338624</v>
      </c>
      <c r="K74" s="1296">
        <f>AVERAGE(K67:K73)</f>
        <v>26.428571428571427</v>
      </c>
      <c r="L74" s="1296">
        <f t="shared" ref="L74:R74" si="32">AVERAGE(L67:L73)</f>
        <v>15.285714285714286</v>
      </c>
      <c r="M74" s="1296">
        <f t="shared" si="32"/>
        <v>6.8571428571428568</v>
      </c>
      <c r="N74" s="1296">
        <f t="shared" si="32"/>
        <v>3.8571428571428572</v>
      </c>
      <c r="O74" s="1296">
        <f t="shared" si="32"/>
        <v>6.1666666666666661</v>
      </c>
      <c r="P74" s="1296">
        <f t="shared" si="32"/>
        <v>60.485032209170129</v>
      </c>
      <c r="Q74" s="1296">
        <f t="shared" si="32"/>
        <v>24.534545913856256</v>
      </c>
      <c r="R74" s="1297">
        <f t="shared" si="32"/>
        <v>13.462170013894152</v>
      </c>
      <c r="T74" s="1242">
        <f t="shared" ref="T74:X74" si="33">AVERAGE(T67:T73)</f>
        <v>291.15672759797991</v>
      </c>
      <c r="U74" s="1243">
        <f t="shared" si="33"/>
        <v>258.40210437335253</v>
      </c>
      <c r="V74" s="1244">
        <f t="shared" si="33"/>
        <v>426.06017845323822</v>
      </c>
      <c r="W74" s="1245">
        <f t="shared" si="33"/>
        <v>975.61901042457066</v>
      </c>
      <c r="X74" s="1246">
        <f t="shared" si="33"/>
        <v>325.20633680819026</v>
      </c>
      <c r="Y74" s="1298">
        <f>AVERAGE(Y67:Y73)</f>
        <v>13</v>
      </c>
      <c r="Z74" s="1323"/>
      <c r="AA74" s="1298">
        <f t="shared" ref="AA74:AB74" si="34">AVERAGE(AA67:AA73)</f>
        <v>-62.13151825191234</v>
      </c>
      <c r="AB74" s="1298">
        <f t="shared" si="34"/>
        <v>-49.349473269928204</v>
      </c>
    </row>
    <row r="75" spans="2:28">
      <c r="C75" s="1299" t="s">
        <v>13</v>
      </c>
      <c r="D75" s="1250">
        <f>STDEVA(D67:D73)</f>
        <v>376.57003227000064</v>
      </c>
      <c r="E75" s="1251">
        <f t="shared" ref="E75:G75" si="35">STDEVA(E67:E73)</f>
        <v>372.84100836416468</v>
      </c>
      <c r="F75" s="1251">
        <f t="shared" si="35"/>
        <v>365.5022547951923</v>
      </c>
      <c r="G75" s="1252">
        <f t="shared" si="35"/>
        <v>350.59202154475429</v>
      </c>
      <c r="H75" s="1300">
        <f>STDEVA(H67:H73)</f>
        <v>1446.7188817956928</v>
      </c>
      <c r="I75" s="1300">
        <f>STDEVA(I67:I73)</f>
        <v>335.81811274211378</v>
      </c>
      <c r="J75" s="1301">
        <f>STDEVA(J67:J73)</f>
        <v>3.9155135612191687</v>
      </c>
      <c r="K75" s="1301">
        <f>STDEVA(K67:K73)</f>
        <v>5.2235729425091995</v>
      </c>
      <c r="L75" s="1301">
        <f t="shared" ref="L75:R75" si="36">STDEVA(L67:L73)</f>
        <v>6.1023024538361925</v>
      </c>
      <c r="M75" s="1301">
        <f t="shared" si="36"/>
        <v>5.0803074522634759</v>
      </c>
      <c r="N75" s="1301">
        <f t="shared" si="36"/>
        <v>3.1847852585154222</v>
      </c>
      <c r="O75" s="1301">
        <f t="shared" si="36"/>
        <v>1.218833686585483</v>
      </c>
      <c r="P75" s="1301">
        <f t="shared" si="36"/>
        <v>26.814162070007374</v>
      </c>
      <c r="Q75" s="1301">
        <f t="shared" si="36"/>
        <v>17.270389363440525</v>
      </c>
      <c r="R75" s="1301">
        <f t="shared" si="36"/>
        <v>11.009879441610151</v>
      </c>
      <c r="T75" s="1250">
        <f t="shared" ref="T75:X75" si="37">STDEVA(T67:T73)</f>
        <v>144.64175085125621</v>
      </c>
      <c r="U75" s="1251">
        <f t="shared" si="37"/>
        <v>89.155826593696219</v>
      </c>
      <c r="V75" s="1252">
        <f t="shared" si="37"/>
        <v>186.32809430978423</v>
      </c>
      <c r="W75" s="1253">
        <f t="shared" si="37"/>
        <v>346.76074982017201</v>
      </c>
      <c r="X75" s="1254">
        <f t="shared" si="37"/>
        <v>115.58691660672383</v>
      </c>
      <c r="Y75" s="1254">
        <f>STDEVA(Y67:Y73)</f>
        <v>4.1633319989322652</v>
      </c>
      <c r="Z75" s="1324"/>
      <c r="AA75" s="1254">
        <f t="shared" ref="AA75:AB75" si="38">STDEVA(AA67:AA73)</f>
        <v>8.7007067073437572</v>
      </c>
      <c r="AB75" s="1254">
        <f t="shared" si="38"/>
        <v>13.474690323548282</v>
      </c>
    </row>
    <row r="76" spans="2:28" ht="16" thickBot="1">
      <c r="C76" s="1302" t="s">
        <v>14</v>
      </c>
      <c r="D76" s="1258">
        <f>D75/(SQRT(COUNT(D67:D73)))</f>
        <v>142.33009379799847</v>
      </c>
      <c r="E76" s="1259">
        <f t="shared" ref="E76:G76" si="39">E75/(SQRT(COUNT(E67:E73)))</f>
        <v>140.92065524259039</v>
      </c>
      <c r="F76" s="1259">
        <f t="shared" si="39"/>
        <v>138.14686711734916</v>
      </c>
      <c r="G76" s="1260">
        <f t="shared" si="39"/>
        <v>143.12859344591578</v>
      </c>
      <c r="H76" s="1303">
        <f>H75/SQRT(COUNT(H67:H73))</f>
        <v>546.80833975040753</v>
      </c>
      <c r="I76" s="1303">
        <f>I75/SQRT(COUNT(I67:I73))</f>
        <v>126.92731600952628</v>
      </c>
      <c r="J76" s="1304">
        <f>J75/SQRT(COUNT(J65:J73))</f>
        <v>1.4799250197266856</v>
      </c>
      <c r="K76" s="1304">
        <f>K75/SQRT(COUNT(K65:K73))</f>
        <v>1.9743249944407479</v>
      </c>
      <c r="L76" s="1304">
        <f t="shared" ref="L76:R76" si="40">L75/SQRT(COUNT(L65:L73))</f>
        <v>2.3064535311071106</v>
      </c>
      <c r="M76" s="1304">
        <f t="shared" si="40"/>
        <v>1.9201757289196144</v>
      </c>
      <c r="N76" s="1304">
        <f t="shared" si="40"/>
        <v>1.203735681882337</v>
      </c>
      <c r="O76" s="1304">
        <f t="shared" si="40"/>
        <v>0.46067583203617568</v>
      </c>
      <c r="P76" s="1304">
        <f t="shared" si="40"/>
        <v>10.134800635974345</v>
      </c>
      <c r="Q76" s="1304">
        <f t="shared" si="40"/>
        <v>6.5275936144169613</v>
      </c>
      <c r="R76" s="1304">
        <f t="shared" si="40"/>
        <v>4.1613432810433055</v>
      </c>
      <c r="T76" s="1258">
        <f t="shared" ref="T76:X76" si="41">T75/(SQRT(COUNT(T67:T73)))</f>
        <v>54.669443135626992</v>
      </c>
      <c r="U76" s="1259">
        <f t="shared" si="41"/>
        <v>33.697735014188439</v>
      </c>
      <c r="V76" s="1260">
        <f t="shared" si="41"/>
        <v>70.425399972611189</v>
      </c>
      <c r="W76" s="1261">
        <f t="shared" si="41"/>
        <v>131.06324406606581</v>
      </c>
      <c r="X76" s="1262">
        <f t="shared" si="41"/>
        <v>43.687748022021864</v>
      </c>
      <c r="Y76" s="1262">
        <f>Y75/(SQRT(COUNT(Y67:Y73)))</f>
        <v>1.5735915849388862</v>
      </c>
      <c r="Z76" s="1325"/>
      <c r="AA76" s="1262">
        <f t="shared" ref="AA76:AB76" si="42">AA75/(SQRT(COUNT(AA67:AA73)))</f>
        <v>3.2885580254490319</v>
      </c>
      <c r="AB76" s="1262">
        <f t="shared" si="42"/>
        <v>5.0929542271024602</v>
      </c>
    </row>
    <row r="77" spans="2:28">
      <c r="C77" s="1326" t="s">
        <v>333</v>
      </c>
      <c r="H77" s="1177">
        <f>TTEST(H67:H73,H52:H60,2,3)</f>
        <v>0.28588732477655349</v>
      </c>
      <c r="I77" s="1177">
        <f>TTEST(I67:I73,I52:I60,2,3)</f>
        <v>0.33500633540731051</v>
      </c>
      <c r="J77" s="1177">
        <f>TTEST(J67:J73,J52:J60,2,2)</f>
        <v>0.32895562735777728</v>
      </c>
      <c r="K77" s="1177">
        <f t="shared" ref="K77:R77" si="43">TTEST(K67:K73,K52:K60,2,2)</f>
        <v>0.85266482693516221</v>
      </c>
      <c r="L77" s="1177">
        <f t="shared" si="43"/>
        <v>0.84818863754570595</v>
      </c>
      <c r="M77" s="1177">
        <f t="shared" si="43"/>
        <v>0.89006987315883124</v>
      </c>
      <c r="N77" s="1177">
        <f t="shared" si="43"/>
        <v>0.56806143543984056</v>
      </c>
      <c r="O77" s="1177">
        <f t="shared" si="43"/>
        <v>0.94537160255452068</v>
      </c>
      <c r="P77" s="1177">
        <f t="shared" si="43"/>
        <v>0.86277072791006082</v>
      </c>
      <c r="Q77" s="1177">
        <f t="shared" si="43"/>
        <v>0.95993475330977651</v>
      </c>
      <c r="R77" s="1177">
        <f t="shared" si="43"/>
        <v>0.63042161307701705</v>
      </c>
      <c r="T77" s="1177">
        <f t="shared" ref="T77:AB77" si="44">TTEST(T67:T73,T52:T60,2,3)</f>
        <v>0.45355536006101449</v>
      </c>
      <c r="U77" s="1177">
        <f t="shared" si="44"/>
        <v>0.68048372842648164</v>
      </c>
      <c r="V77" s="1177">
        <f t="shared" si="44"/>
        <v>0.14788332148897068</v>
      </c>
      <c r="W77" s="1177">
        <f t="shared" si="44"/>
        <v>0.32938826858540693</v>
      </c>
      <c r="X77" s="1177">
        <f t="shared" si="44"/>
        <v>0.32938826858540637</v>
      </c>
      <c r="Y77" s="1177">
        <f t="shared" si="44"/>
        <v>0.57664558331165816</v>
      </c>
      <c r="AA77" s="1177">
        <f t="shared" si="44"/>
        <v>0.71538237081853784</v>
      </c>
      <c r="AB77" s="1177">
        <f t="shared" si="44"/>
        <v>0.71929951695428529</v>
      </c>
    </row>
    <row r="80" spans="2:28">
      <c r="C80" s="1218" t="s">
        <v>334</v>
      </c>
      <c r="D80" s="1218"/>
      <c r="E80" s="1218"/>
      <c r="F80" s="1218"/>
      <c r="G80" s="1218"/>
      <c r="H80" s="1218"/>
      <c r="I80" s="1218"/>
      <c r="U80" s="1218" t="s">
        <v>335</v>
      </c>
      <c r="AA80" s="1327">
        <f>AVERAGE(AA52:AA60,AA67:AA73)</f>
        <v>-63.169481270805413</v>
      </c>
    </row>
    <row r="81" spans="27:27">
      <c r="AA81" s="1327">
        <f>STDEVA(AA52:AA60,AA67:AA73)</f>
        <v>9.8639917353303144</v>
      </c>
    </row>
  </sheetData>
  <mergeCells count="9">
    <mergeCell ref="T49:X50"/>
    <mergeCell ref="AA50:AA51"/>
    <mergeCell ref="AB50:AB51"/>
    <mergeCell ref="B1:N2"/>
    <mergeCell ref="D3:I4"/>
    <mergeCell ref="J3:N4"/>
    <mergeCell ref="S4:S5"/>
    <mergeCell ref="D49:I50"/>
    <mergeCell ref="K49:R5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75" workbookViewId="0">
      <selection activeCell="T36" sqref="T36"/>
    </sheetView>
  </sheetViews>
  <sheetFormatPr baseColWidth="10" defaultRowHeight="15.5"/>
  <sheetData>
    <row r="1" spans="1:21" ht="16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1" ht="16" thickBot="1">
      <c r="A2" s="18"/>
      <c r="B2" s="18"/>
      <c r="C2" s="18"/>
      <c r="D2" s="1333" t="s">
        <v>156</v>
      </c>
      <c r="E2" s="1334"/>
      <c r="F2" s="930"/>
      <c r="G2" s="18"/>
      <c r="H2" s="18"/>
      <c r="I2" s="1333" t="s">
        <v>157</v>
      </c>
      <c r="J2" s="1334"/>
      <c r="K2" s="18"/>
      <c r="L2" s="18"/>
      <c r="M2" s="313"/>
      <c r="N2" s="313"/>
      <c r="O2" s="1449" t="s">
        <v>170</v>
      </c>
      <c r="P2" s="1450"/>
      <c r="Q2" s="18"/>
      <c r="R2" s="554"/>
      <c r="S2" s="554"/>
      <c r="T2" s="1446" t="s">
        <v>177</v>
      </c>
      <c r="U2" s="1447"/>
    </row>
    <row r="3" spans="1:21">
      <c r="A3" s="18"/>
      <c r="B3" s="18"/>
      <c r="C3" s="18"/>
      <c r="D3" s="6" t="s">
        <v>216</v>
      </c>
      <c r="E3" s="5" t="s">
        <v>217</v>
      </c>
      <c r="F3" s="18"/>
      <c r="G3" s="18"/>
      <c r="H3" s="18"/>
      <c r="I3" s="6" t="s">
        <v>216</v>
      </c>
      <c r="J3" s="5" t="s">
        <v>217</v>
      </c>
      <c r="K3" s="18"/>
      <c r="L3" s="18"/>
      <c r="M3" s="313"/>
      <c r="N3" s="313"/>
      <c r="O3" s="388" t="s">
        <v>216</v>
      </c>
      <c r="P3" s="847" t="s">
        <v>217</v>
      </c>
      <c r="Q3" s="18"/>
      <c r="R3" s="554"/>
      <c r="S3" s="554"/>
      <c r="T3" s="803" t="s">
        <v>216</v>
      </c>
      <c r="U3" s="850" t="s">
        <v>217</v>
      </c>
    </row>
    <row r="4" spans="1:21" ht="16" thickBot="1">
      <c r="A4" s="12"/>
      <c r="B4" s="923"/>
      <c r="C4" s="924"/>
      <c r="D4" s="927" t="s">
        <v>2</v>
      </c>
      <c r="E4" s="928" t="s">
        <v>36</v>
      </c>
      <c r="F4" s="924"/>
      <c r="G4" s="923"/>
      <c r="H4" s="924"/>
      <c r="I4" s="927" t="s">
        <v>2</v>
      </c>
      <c r="J4" s="928" t="s">
        <v>36</v>
      </c>
      <c r="K4" s="923"/>
      <c r="L4" s="12"/>
      <c r="M4" s="951"/>
      <c r="N4" s="952"/>
      <c r="O4" s="953" t="s">
        <v>2</v>
      </c>
      <c r="P4" s="954" t="s">
        <v>36</v>
      </c>
      <c r="Q4" s="18"/>
      <c r="R4" s="921"/>
      <c r="S4" s="922"/>
      <c r="T4" s="970" t="s">
        <v>2</v>
      </c>
      <c r="U4" s="971" t="s">
        <v>36</v>
      </c>
    </row>
    <row r="5" spans="1:21">
      <c r="A5" s="12"/>
      <c r="B5" s="89" t="s">
        <v>60</v>
      </c>
      <c r="C5" s="931" t="s">
        <v>57</v>
      </c>
      <c r="D5" s="932">
        <v>64.805000000000007</v>
      </c>
      <c r="E5" s="933">
        <v>13.7</v>
      </c>
      <c r="F5" s="925"/>
      <c r="G5" s="89" t="s">
        <v>60</v>
      </c>
      <c r="H5" s="934" t="s">
        <v>57</v>
      </c>
      <c r="I5" s="931">
        <v>65.131</v>
      </c>
      <c r="J5" s="935">
        <v>14.2</v>
      </c>
      <c r="K5" s="923"/>
      <c r="L5" s="12"/>
      <c r="M5" s="343" t="s">
        <v>60</v>
      </c>
      <c r="N5" s="955" t="s">
        <v>57</v>
      </c>
      <c r="O5" s="956">
        <f>I5-D5</f>
        <v>0.32599999999999341</v>
      </c>
      <c r="P5" s="957">
        <f>J5-E5</f>
        <v>0.5</v>
      </c>
      <c r="Q5" s="18"/>
      <c r="R5" s="567" t="s">
        <v>60</v>
      </c>
      <c r="S5" s="972" t="s">
        <v>57</v>
      </c>
      <c r="T5" s="973">
        <f>(I5-D5)/D5*100</f>
        <v>0.50304760435150586</v>
      </c>
      <c r="U5" s="974">
        <f>(J5-E5)/E5*100</f>
        <v>3.6496350364963508</v>
      </c>
    </row>
    <row r="6" spans="1:21">
      <c r="A6" s="12"/>
      <c r="B6" s="32" t="s">
        <v>60</v>
      </c>
      <c r="C6" s="936" t="s">
        <v>167</v>
      </c>
      <c r="D6" s="937">
        <v>69.430000000000007</v>
      </c>
      <c r="E6" s="938">
        <v>10.199999999999999</v>
      </c>
      <c r="F6" s="919"/>
      <c r="G6" s="32" t="s">
        <v>60</v>
      </c>
      <c r="H6" s="939" t="s">
        <v>167</v>
      </c>
      <c r="I6" s="936">
        <v>62.204000000000001</v>
      </c>
      <c r="J6" s="940">
        <v>9.9</v>
      </c>
      <c r="K6" s="919"/>
      <c r="L6" s="12"/>
      <c r="M6" s="322" t="s">
        <v>60</v>
      </c>
      <c r="N6" s="958" t="s">
        <v>167</v>
      </c>
      <c r="O6" s="959">
        <f>I6-D6</f>
        <v>-7.2260000000000062</v>
      </c>
      <c r="P6" s="960">
        <f t="shared" ref="P6:P10" si="0">J6-E6</f>
        <v>-0.29999999999999893</v>
      </c>
      <c r="Q6" s="18"/>
      <c r="R6" s="565" t="s">
        <v>60</v>
      </c>
      <c r="S6" s="975" t="s">
        <v>167</v>
      </c>
      <c r="T6" s="976">
        <f t="shared" ref="T6:T10" si="1">(I6-D6)/D6*100</f>
        <v>-10.407604781794621</v>
      </c>
      <c r="U6" s="977">
        <f t="shared" ref="U6:U10" si="2">(J6-E6)/E6*100</f>
        <v>-2.9411764705882253</v>
      </c>
    </row>
    <row r="7" spans="1:21">
      <c r="A7" s="12"/>
      <c r="B7" s="32" t="s">
        <v>60</v>
      </c>
      <c r="C7" s="936" t="s">
        <v>218</v>
      </c>
      <c r="D7" s="937">
        <v>54.6</v>
      </c>
      <c r="E7" s="938">
        <v>21.3</v>
      </c>
      <c r="F7" s="919"/>
      <c r="G7" s="32" t="s">
        <v>60</v>
      </c>
      <c r="H7" s="939" t="s">
        <v>218</v>
      </c>
      <c r="I7" s="941">
        <v>53.984000000000002</v>
      </c>
      <c r="J7" s="942">
        <v>23.7</v>
      </c>
      <c r="K7" s="919"/>
      <c r="L7" s="12"/>
      <c r="M7" s="322" t="s">
        <v>60</v>
      </c>
      <c r="N7" s="958" t="s">
        <v>218</v>
      </c>
      <c r="O7" s="959">
        <f t="shared" ref="O7:O10" si="3">I7-D7</f>
        <v>-0.61599999999999966</v>
      </c>
      <c r="P7" s="960">
        <f t="shared" si="0"/>
        <v>2.3999999999999986</v>
      </c>
      <c r="Q7" s="18"/>
      <c r="R7" s="565" t="s">
        <v>60</v>
      </c>
      <c r="S7" s="975" t="s">
        <v>218</v>
      </c>
      <c r="T7" s="976">
        <f t="shared" si="1"/>
        <v>-1.1282051282051275</v>
      </c>
      <c r="U7" s="977">
        <f t="shared" si="2"/>
        <v>11.267605633802811</v>
      </c>
    </row>
    <row r="8" spans="1:21">
      <c r="A8" s="12"/>
      <c r="B8" s="32" t="s">
        <v>60</v>
      </c>
      <c r="C8" s="936" t="s">
        <v>219</v>
      </c>
      <c r="D8" s="937">
        <v>60.93</v>
      </c>
      <c r="E8" s="938">
        <v>9.8000000000000007</v>
      </c>
      <c r="F8" s="919"/>
      <c r="G8" s="32" t="s">
        <v>60</v>
      </c>
      <c r="H8" s="939" t="s">
        <v>219</v>
      </c>
      <c r="I8" s="941">
        <v>55.734999999999999</v>
      </c>
      <c r="J8" s="942">
        <v>10.1</v>
      </c>
      <c r="K8" s="919"/>
      <c r="L8" s="12"/>
      <c r="M8" s="322" t="s">
        <v>60</v>
      </c>
      <c r="N8" s="958" t="s">
        <v>219</v>
      </c>
      <c r="O8" s="959">
        <f t="shared" si="3"/>
        <v>-5.1950000000000003</v>
      </c>
      <c r="P8" s="960">
        <f t="shared" si="0"/>
        <v>0.29999999999999893</v>
      </c>
      <c r="Q8" s="18"/>
      <c r="R8" s="565" t="s">
        <v>60</v>
      </c>
      <c r="S8" s="975" t="s">
        <v>219</v>
      </c>
      <c r="T8" s="976">
        <f t="shared" si="1"/>
        <v>-8.5261775808304616</v>
      </c>
      <c r="U8" s="977">
        <f t="shared" si="2"/>
        <v>3.0612244897959071</v>
      </c>
    </row>
    <row r="9" spans="1:21">
      <c r="A9" s="12"/>
      <c r="B9" s="33" t="s">
        <v>60</v>
      </c>
      <c r="C9" s="936" t="s">
        <v>220</v>
      </c>
      <c r="D9" s="937">
        <v>60.69</v>
      </c>
      <c r="E9" s="938">
        <v>5.6</v>
      </c>
      <c r="F9" s="919"/>
      <c r="G9" s="33" t="s">
        <v>60</v>
      </c>
      <c r="H9" s="939" t="s">
        <v>220</v>
      </c>
      <c r="I9" s="941">
        <v>56.609000000000002</v>
      </c>
      <c r="J9" s="942">
        <v>6.7</v>
      </c>
      <c r="K9" s="919"/>
      <c r="L9" s="12"/>
      <c r="M9" s="332" t="s">
        <v>60</v>
      </c>
      <c r="N9" s="958" t="s">
        <v>220</v>
      </c>
      <c r="O9" s="959">
        <f t="shared" si="3"/>
        <v>-4.080999999999996</v>
      </c>
      <c r="P9" s="960">
        <f t="shared" si="0"/>
        <v>1.1000000000000005</v>
      </c>
      <c r="Q9" s="18"/>
      <c r="R9" s="570" t="s">
        <v>60</v>
      </c>
      <c r="S9" s="975" t="s">
        <v>220</v>
      </c>
      <c r="T9" s="976">
        <f t="shared" si="1"/>
        <v>-6.7243367935409388</v>
      </c>
      <c r="U9" s="977">
        <f t="shared" si="2"/>
        <v>19.642857142857153</v>
      </c>
    </row>
    <row r="10" spans="1:21" ht="16" thickBot="1">
      <c r="A10" s="12"/>
      <c r="B10" s="53" t="s">
        <v>60</v>
      </c>
      <c r="C10" s="943" t="s">
        <v>221</v>
      </c>
      <c r="D10" s="944">
        <v>70.989999999999995</v>
      </c>
      <c r="E10" s="945">
        <v>12</v>
      </c>
      <c r="F10" s="12"/>
      <c r="G10" s="53" t="s">
        <v>60</v>
      </c>
      <c r="H10" s="946" t="s">
        <v>221</v>
      </c>
      <c r="I10" s="944">
        <v>68</v>
      </c>
      <c r="J10" s="945">
        <v>10.9</v>
      </c>
      <c r="K10" s="12"/>
      <c r="L10" s="12"/>
      <c r="M10" s="333" t="s">
        <v>60</v>
      </c>
      <c r="N10" s="961" t="s">
        <v>221</v>
      </c>
      <c r="O10" s="962">
        <f t="shared" si="3"/>
        <v>-2.9899999999999949</v>
      </c>
      <c r="P10" s="963">
        <f t="shared" si="0"/>
        <v>-1.0999999999999996</v>
      </c>
      <c r="Q10" s="18"/>
      <c r="R10" s="571" t="s">
        <v>60</v>
      </c>
      <c r="S10" s="978" t="s">
        <v>221</v>
      </c>
      <c r="T10" s="979">
        <f t="shared" si="1"/>
        <v>-4.2118608254683689</v>
      </c>
      <c r="U10" s="980">
        <f t="shared" si="2"/>
        <v>-9.1666666666666625</v>
      </c>
    </row>
    <row r="11" spans="1:21">
      <c r="A11" s="12"/>
      <c r="B11" s="51"/>
      <c r="C11" s="216" t="s">
        <v>76</v>
      </c>
      <c r="D11" s="863">
        <f>AVERAGE(D5:D10)</f>
        <v>63.574166666666677</v>
      </c>
      <c r="E11" s="863">
        <f>AVERAGE(E5:E10)</f>
        <v>12.1</v>
      </c>
      <c r="F11" s="12"/>
      <c r="G11" s="51"/>
      <c r="H11" s="216" t="s">
        <v>76</v>
      </c>
      <c r="I11" s="12">
        <f>AVERAGE(I5:I10)</f>
        <v>60.277166666666666</v>
      </c>
      <c r="J11" s="12">
        <f>AVERAGE(J5:J10)</f>
        <v>12.583333333333334</v>
      </c>
      <c r="K11" s="12"/>
      <c r="L11" s="12"/>
      <c r="M11" s="315"/>
      <c r="N11" s="964" t="s">
        <v>76</v>
      </c>
      <c r="O11" s="528">
        <f>AVERAGE(O5:O10)</f>
        <v>-3.2970000000000006</v>
      </c>
      <c r="P11" s="528">
        <f>AVERAGE(P5:P10)</f>
        <v>0.48333333333333323</v>
      </c>
      <c r="Q11" s="18"/>
      <c r="R11" s="620"/>
      <c r="S11" s="981" t="s">
        <v>76</v>
      </c>
      <c r="T11" s="982">
        <f>AVERAGE(T5:T10)</f>
        <v>-5.0825229175813353</v>
      </c>
      <c r="U11" s="982">
        <f>AVERAGE(U5:U10)</f>
        <v>4.2522465276162222</v>
      </c>
    </row>
    <row r="12" spans="1:21">
      <c r="A12" s="12"/>
      <c r="B12" s="51"/>
      <c r="C12" s="216" t="s">
        <v>13</v>
      </c>
      <c r="D12" s="950">
        <f>STDEVA(D5:D10)</f>
        <v>6.1097630204997859</v>
      </c>
      <c r="E12" s="950">
        <f>STDEVA(E5:E10)</f>
        <v>5.2604182343232013</v>
      </c>
      <c r="F12" s="12"/>
      <c r="G12" s="51"/>
      <c r="H12" s="216" t="s">
        <v>13</v>
      </c>
      <c r="I12" s="950">
        <f>STDEVA(I5:I10)</f>
        <v>5.6675428685336531</v>
      </c>
      <c r="J12" s="950">
        <f>STDEVA(J5:J10)</f>
        <v>5.9499299715766965</v>
      </c>
      <c r="K12" s="12"/>
      <c r="L12" s="12"/>
      <c r="M12" s="315"/>
      <c r="N12" s="964" t="s">
        <v>13</v>
      </c>
      <c r="O12" s="965">
        <f>STDEVA(O5:O10)</f>
        <v>2.8306267857137222</v>
      </c>
      <c r="P12" s="965">
        <f>STDEVA(P5:P10)</f>
        <v>1.2006942436218577</v>
      </c>
      <c r="Q12" s="18"/>
      <c r="R12" s="620"/>
      <c r="S12" s="981" t="s">
        <v>13</v>
      </c>
      <c r="T12" s="983">
        <f>STDEVA(T5:T10)</f>
        <v>4.25450553688884</v>
      </c>
      <c r="U12" s="983">
        <f>STDEVA(U5:U10)</f>
        <v>10.194904593465514</v>
      </c>
    </row>
    <row r="13" spans="1:21">
      <c r="A13" s="12"/>
      <c r="B13" s="51"/>
      <c r="C13" s="216" t="s">
        <v>14</v>
      </c>
      <c r="D13" s="950">
        <f>D12/SQRT(COUNT(D5:D10))</f>
        <v>2.4943003082583659</v>
      </c>
      <c r="E13" s="950">
        <f>E12/SQRT(COUNT(E5:E10))</f>
        <v>2.1475567512873801</v>
      </c>
      <c r="F13" s="12"/>
      <c r="G13" s="51"/>
      <c r="H13" s="216" t="s">
        <v>14</v>
      </c>
      <c r="I13" s="950">
        <f>I12/SQRT(COUNT(I5:I10))</f>
        <v>2.3137646872095226</v>
      </c>
      <c r="J13" s="950">
        <f>J12/SQRT(COUNT(J5:J10))</f>
        <v>2.4290487392758875</v>
      </c>
      <c r="K13" s="12"/>
      <c r="L13" s="12"/>
      <c r="M13" s="315"/>
      <c r="N13" s="964" t="s">
        <v>14</v>
      </c>
      <c r="O13" s="965">
        <f>O12/SQRT(COUNT(O5:O10))</f>
        <v>1.1555985462088467</v>
      </c>
      <c r="P13" s="965">
        <f>P12/SQRT(COUNT(P5:P10))</f>
        <v>0.49018137232842451</v>
      </c>
      <c r="Q13" s="18"/>
      <c r="R13" s="620"/>
      <c r="S13" s="981" t="s">
        <v>14</v>
      </c>
      <c r="T13" s="983">
        <f>T12/SQRT(COUNT(T5:T10))</f>
        <v>1.7368946122039088</v>
      </c>
      <c r="U13" s="983">
        <f>U12/SQRT(COUNT(U5:U10))</f>
        <v>4.1620523717244806</v>
      </c>
    </row>
    <row r="14" spans="1:21">
      <c r="A14" s="12"/>
      <c r="B14" s="51"/>
      <c r="C14" s="216"/>
      <c r="D14" s="12"/>
      <c r="E14" s="12"/>
      <c r="F14" s="12"/>
      <c r="G14" s="51"/>
      <c r="H14" s="216"/>
      <c r="I14" s="12"/>
      <c r="J14" s="12"/>
      <c r="K14" s="12"/>
      <c r="L14" s="12"/>
      <c r="M14" s="315"/>
      <c r="N14" s="964"/>
      <c r="O14" s="314"/>
      <c r="P14" s="314"/>
      <c r="Q14" s="18"/>
      <c r="R14" s="620"/>
      <c r="S14" s="981"/>
      <c r="T14" s="619"/>
      <c r="U14" s="619"/>
    </row>
    <row r="15" spans="1:21" ht="16" thickBot="1">
      <c r="A15" s="12"/>
      <c r="B15" s="51"/>
      <c r="C15" s="216"/>
      <c r="D15" s="12"/>
      <c r="E15" s="12"/>
      <c r="F15" s="12"/>
      <c r="G15" s="51"/>
      <c r="H15" s="216"/>
      <c r="I15" s="12"/>
      <c r="J15" s="12"/>
      <c r="K15" s="12"/>
      <c r="L15" s="12"/>
      <c r="M15" s="315"/>
      <c r="N15" s="964"/>
      <c r="O15" s="314"/>
      <c r="P15" s="314"/>
      <c r="Q15" s="18"/>
      <c r="R15" s="620"/>
      <c r="S15" s="981"/>
      <c r="T15" s="619"/>
      <c r="U15" s="619"/>
    </row>
    <row r="16" spans="1:21" ht="16" thickBot="1">
      <c r="A16" s="12"/>
      <c r="B16" s="51"/>
      <c r="C16" s="216"/>
      <c r="D16" s="1333" t="s">
        <v>156</v>
      </c>
      <c r="E16" s="1334"/>
      <c r="F16" s="12"/>
      <c r="G16" s="51"/>
      <c r="H16" s="216"/>
      <c r="I16" s="1333" t="s">
        <v>157</v>
      </c>
      <c r="J16" s="1334"/>
      <c r="K16" s="12"/>
      <c r="L16" s="12"/>
      <c r="M16" s="315"/>
      <c r="N16" s="964"/>
      <c r="O16" s="1449" t="s">
        <v>170</v>
      </c>
      <c r="P16" s="1450"/>
      <c r="Q16" s="18"/>
      <c r="R16" s="620"/>
      <c r="S16" s="981"/>
      <c r="T16" s="1446" t="s">
        <v>177</v>
      </c>
      <c r="U16" s="1447"/>
    </row>
    <row r="17" spans="1:21">
      <c r="A17" s="12"/>
      <c r="B17" s="12"/>
      <c r="C17" s="12"/>
      <c r="D17" s="918" t="s">
        <v>216</v>
      </c>
      <c r="E17" s="920" t="s">
        <v>217</v>
      </c>
      <c r="F17" s="18"/>
      <c r="G17" s="12"/>
      <c r="H17" s="12"/>
      <c r="I17" s="918" t="s">
        <v>216</v>
      </c>
      <c r="J17" s="920" t="s">
        <v>217</v>
      </c>
      <c r="K17" s="12"/>
      <c r="L17" s="12"/>
      <c r="M17" s="314"/>
      <c r="N17" s="314"/>
      <c r="O17" s="390" t="s">
        <v>216</v>
      </c>
      <c r="P17" s="848" t="s">
        <v>217</v>
      </c>
      <c r="Q17" s="18"/>
      <c r="R17" s="619"/>
      <c r="S17" s="619"/>
      <c r="T17" s="809" t="s">
        <v>216</v>
      </c>
      <c r="U17" s="851" t="s">
        <v>217</v>
      </c>
    </row>
    <row r="18" spans="1:21" ht="16" thickBot="1">
      <c r="A18" s="12"/>
      <c r="B18" s="919"/>
      <c r="C18" s="12"/>
      <c r="D18" s="927" t="s">
        <v>2</v>
      </c>
      <c r="E18" s="928" t="s">
        <v>36</v>
      </c>
      <c r="F18" s="18"/>
      <c r="G18" s="919"/>
      <c r="H18" s="12"/>
      <c r="I18" s="927" t="s">
        <v>2</v>
      </c>
      <c r="J18" s="928" t="s">
        <v>36</v>
      </c>
      <c r="K18" s="926"/>
      <c r="L18" s="12"/>
      <c r="M18" s="527"/>
      <c r="N18" s="314"/>
      <c r="O18" s="953" t="s">
        <v>2</v>
      </c>
      <c r="P18" s="954" t="s">
        <v>36</v>
      </c>
      <c r="Q18" s="18"/>
      <c r="R18" s="806"/>
      <c r="S18" s="619"/>
      <c r="T18" s="970" t="s">
        <v>2</v>
      </c>
      <c r="U18" s="971" t="s">
        <v>36</v>
      </c>
    </row>
    <row r="19" spans="1:21">
      <c r="A19" s="12"/>
      <c r="B19" s="89" t="s">
        <v>61</v>
      </c>
      <c r="C19" s="934" t="s">
        <v>58</v>
      </c>
      <c r="D19" s="932">
        <v>62.07</v>
      </c>
      <c r="E19" s="933">
        <v>11.7</v>
      </c>
      <c r="F19" s="18"/>
      <c r="G19" s="89" t="s">
        <v>61</v>
      </c>
      <c r="H19" s="931" t="s">
        <v>58</v>
      </c>
      <c r="I19" s="934">
        <v>62.677</v>
      </c>
      <c r="J19" s="935">
        <v>12.8</v>
      </c>
      <c r="K19" s="926"/>
      <c r="L19" s="12"/>
      <c r="M19" s="343" t="s">
        <v>61</v>
      </c>
      <c r="N19" s="966" t="s">
        <v>58</v>
      </c>
      <c r="O19" s="956">
        <f>I19-D19</f>
        <v>0.60699999999999932</v>
      </c>
      <c r="P19" s="957">
        <f>J19-E19</f>
        <v>1.1000000000000014</v>
      </c>
      <c r="Q19" s="18"/>
      <c r="R19" s="567" t="s">
        <v>61</v>
      </c>
      <c r="S19" s="972" t="s">
        <v>58</v>
      </c>
      <c r="T19" s="973">
        <f>(I19-D19)/D19*100</f>
        <v>0.97792814564201591</v>
      </c>
      <c r="U19" s="974">
        <f>(J19-E19)/E19*100</f>
        <v>9.4017094017094145</v>
      </c>
    </row>
    <row r="20" spans="1:21">
      <c r="A20" s="12"/>
      <c r="B20" s="32" t="s">
        <v>61</v>
      </c>
      <c r="C20" s="939" t="s">
        <v>222</v>
      </c>
      <c r="D20" s="937">
        <v>68.59</v>
      </c>
      <c r="E20" s="938">
        <v>9.6999999999999993</v>
      </c>
      <c r="F20" s="12"/>
      <c r="G20" s="32" t="s">
        <v>61</v>
      </c>
      <c r="H20" s="936" t="s">
        <v>222</v>
      </c>
      <c r="I20" s="947">
        <v>67.807000000000002</v>
      </c>
      <c r="J20" s="942">
        <v>11.1</v>
      </c>
      <c r="K20" s="12"/>
      <c r="L20" s="12"/>
      <c r="M20" s="322" t="s">
        <v>61</v>
      </c>
      <c r="N20" s="967" t="s">
        <v>222</v>
      </c>
      <c r="O20" s="959">
        <f t="shared" ref="O20:O22" si="4">I20-D20</f>
        <v>-0.78300000000000125</v>
      </c>
      <c r="P20" s="960">
        <f t="shared" ref="P20:P22" si="5">J20-E20</f>
        <v>1.4000000000000004</v>
      </c>
      <c r="Q20" s="18"/>
      <c r="R20" s="565" t="s">
        <v>61</v>
      </c>
      <c r="S20" s="975" t="s">
        <v>222</v>
      </c>
      <c r="T20" s="976">
        <f t="shared" ref="T20:T22" si="6">(I20-D20)/D20*100</f>
        <v>-1.1415658259221477</v>
      </c>
      <c r="U20" s="977">
        <f t="shared" ref="U20:U22" si="7">(J20-E20)/E20*100</f>
        <v>14.432989690721653</v>
      </c>
    </row>
    <row r="21" spans="1:21">
      <c r="A21" s="12"/>
      <c r="B21" s="32" t="s">
        <v>61</v>
      </c>
      <c r="C21" s="939" t="s">
        <v>223</v>
      </c>
      <c r="D21" s="937">
        <v>66.41</v>
      </c>
      <c r="E21" s="938">
        <v>9.75</v>
      </c>
      <c r="F21" s="12"/>
      <c r="G21" s="32" t="s">
        <v>61</v>
      </c>
      <c r="H21" s="936" t="s">
        <v>223</v>
      </c>
      <c r="I21" s="948">
        <v>64.2</v>
      </c>
      <c r="J21" s="938">
        <v>9.9</v>
      </c>
      <c r="K21" s="12"/>
      <c r="L21" s="12"/>
      <c r="M21" s="322" t="s">
        <v>61</v>
      </c>
      <c r="N21" s="967" t="s">
        <v>223</v>
      </c>
      <c r="O21" s="959">
        <f t="shared" si="4"/>
        <v>-2.2099999999999937</v>
      </c>
      <c r="P21" s="960">
        <f t="shared" si="5"/>
        <v>0.15000000000000036</v>
      </c>
      <c r="Q21" s="18"/>
      <c r="R21" s="565" t="s">
        <v>61</v>
      </c>
      <c r="S21" s="975" t="s">
        <v>223</v>
      </c>
      <c r="T21" s="976">
        <f t="shared" si="6"/>
        <v>-3.327812076494495</v>
      </c>
      <c r="U21" s="977">
        <f t="shared" si="7"/>
        <v>1.5384615384615421</v>
      </c>
    </row>
    <row r="22" spans="1:21" ht="16" thickBot="1">
      <c r="A22" s="12"/>
      <c r="B22" s="929" t="s">
        <v>61</v>
      </c>
      <c r="C22" s="943" t="s">
        <v>224</v>
      </c>
      <c r="D22" s="944">
        <v>54.86</v>
      </c>
      <c r="E22" s="945">
        <v>12.7</v>
      </c>
      <c r="F22" s="12"/>
      <c r="G22" s="929" t="s">
        <v>61</v>
      </c>
      <c r="H22" s="943" t="s">
        <v>224</v>
      </c>
      <c r="I22" s="949">
        <v>51.8</v>
      </c>
      <c r="J22" s="945">
        <v>12.6</v>
      </c>
      <c r="K22" s="12"/>
      <c r="L22" s="12"/>
      <c r="M22" s="968" t="s">
        <v>61</v>
      </c>
      <c r="N22" s="969" t="s">
        <v>224</v>
      </c>
      <c r="O22" s="962">
        <f t="shared" si="4"/>
        <v>-3.0600000000000023</v>
      </c>
      <c r="P22" s="963">
        <f t="shared" si="5"/>
        <v>-9.9999999999999645E-2</v>
      </c>
      <c r="Q22" s="18"/>
      <c r="R22" s="984" t="s">
        <v>61</v>
      </c>
      <c r="S22" s="978" t="s">
        <v>224</v>
      </c>
      <c r="T22" s="979">
        <f t="shared" si="6"/>
        <v>-5.5778344877870989</v>
      </c>
      <c r="U22" s="980">
        <f t="shared" si="7"/>
        <v>-0.78740157480314688</v>
      </c>
    </row>
    <row r="23" spans="1:21">
      <c r="A23" s="18"/>
      <c r="B23" s="12"/>
      <c r="C23" s="216" t="s">
        <v>76</v>
      </c>
      <c r="D23" s="863">
        <f>AVERAGE(D19:D22)</f>
        <v>62.982500000000002</v>
      </c>
      <c r="E23" s="863">
        <f>AVERAGE(E19:E22)</f>
        <v>10.962499999999999</v>
      </c>
      <c r="F23" s="12"/>
      <c r="G23" s="12"/>
      <c r="H23" s="216" t="s">
        <v>76</v>
      </c>
      <c r="I23" s="12">
        <f>AVERAGE(I19:I22)</f>
        <v>61.621000000000009</v>
      </c>
      <c r="J23" s="12">
        <f>AVERAGE(J19:J22)</f>
        <v>11.6</v>
      </c>
      <c r="K23" s="12"/>
      <c r="L23" s="12"/>
      <c r="M23" s="314"/>
      <c r="N23" s="964" t="s">
        <v>76</v>
      </c>
      <c r="O23" s="528">
        <f>AVERAGE(O19:O22)</f>
        <v>-1.3614999999999995</v>
      </c>
      <c r="P23" s="528">
        <f>AVERAGE(P19:P22)</f>
        <v>0.63750000000000062</v>
      </c>
      <c r="Q23" s="18"/>
      <c r="R23" s="619"/>
      <c r="S23" s="981" t="s">
        <v>76</v>
      </c>
      <c r="T23" s="982">
        <f>AVERAGE(T19:T22)</f>
        <v>-2.2673210611404313</v>
      </c>
      <c r="U23" s="982">
        <f>AVERAGE(U19:U22)</f>
        <v>6.1464397640223654</v>
      </c>
    </row>
    <row r="24" spans="1:21">
      <c r="A24" s="18"/>
      <c r="B24" s="12"/>
      <c r="C24" s="216" t="s">
        <v>13</v>
      </c>
      <c r="D24" s="950">
        <f>STDEVA(D19:D22)</f>
        <v>6.0552862580283247</v>
      </c>
      <c r="E24" s="950">
        <f>STDEVA(E19:E22)</f>
        <v>1.4862564830248397</v>
      </c>
      <c r="F24" s="12"/>
      <c r="G24" s="12"/>
      <c r="H24" s="216" t="s">
        <v>13</v>
      </c>
      <c r="I24" s="950">
        <f>STDEVA(I19:I22)</f>
        <v>6.8916619669472103</v>
      </c>
      <c r="J24" s="950">
        <f>STDEVA(J19:J22)</f>
        <v>1.3638181696985767</v>
      </c>
      <c r="K24" s="12"/>
      <c r="L24" s="12"/>
      <c r="M24" s="314"/>
      <c r="N24" s="964" t="s">
        <v>13</v>
      </c>
      <c r="O24" s="965">
        <f>STDEVA(O19:O22)</f>
        <v>1.6139505362102431</v>
      </c>
      <c r="P24" s="965">
        <f>STDEVA(P19:P22)</f>
        <v>0.7250000000000002</v>
      </c>
      <c r="Q24" s="18"/>
      <c r="R24" s="619"/>
      <c r="S24" s="981" t="s">
        <v>13</v>
      </c>
      <c r="T24" s="983">
        <f>STDEVA(T19:T22)</f>
        <v>2.8215307668827592</v>
      </c>
      <c r="U24" s="983">
        <f>STDEVA(U19:U22)</f>
        <v>7.0374074094791315</v>
      </c>
    </row>
    <row r="25" spans="1:21">
      <c r="A25" s="18"/>
      <c r="B25" s="12"/>
      <c r="C25" s="216" t="s">
        <v>14</v>
      </c>
      <c r="D25" s="950">
        <f>D24/SQRT(COUNT(D19:D22))</f>
        <v>3.0276431290141623</v>
      </c>
      <c r="E25" s="950">
        <f>E24/SQRT(COUNT(E19:E22))</f>
        <v>0.74312824151241985</v>
      </c>
      <c r="F25" s="12"/>
      <c r="G25" s="12"/>
      <c r="H25" s="216" t="s">
        <v>14</v>
      </c>
      <c r="I25" s="950">
        <f>I24/SQRT(COUNT(I19:I22))</f>
        <v>3.4458309834736052</v>
      </c>
      <c r="J25" s="950">
        <f>J24/SQRT(COUNT(J19:J22))</f>
        <v>0.68190908484928836</v>
      </c>
      <c r="K25" s="12"/>
      <c r="L25" s="12"/>
      <c r="M25" s="314"/>
      <c r="N25" s="964" t="s">
        <v>14</v>
      </c>
      <c r="O25" s="965">
        <f>O24/SQRT(COUNT(O19:O22))</f>
        <v>0.80697526810512155</v>
      </c>
      <c r="P25" s="965">
        <f>P24/SQRT(COUNT(P19:P22))</f>
        <v>0.3625000000000001</v>
      </c>
      <c r="Q25" s="18"/>
      <c r="R25" s="619"/>
      <c r="S25" s="981" t="s">
        <v>14</v>
      </c>
      <c r="T25" s="983">
        <f>T24/SQRT(COUNT(T19:T22))</f>
        <v>1.4107653834413796</v>
      </c>
      <c r="U25" s="983">
        <f>U24/SQRT(COUNT(U19:U22))</f>
        <v>3.5187037047395657</v>
      </c>
    </row>
    <row r="26" spans="1:21">
      <c r="A26" s="1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21">
      <c r="A27" s="18"/>
      <c r="B27" s="1076"/>
      <c r="C27" s="1076"/>
      <c r="D27" s="1076"/>
      <c r="E27" s="1076"/>
      <c r="F27" s="1076"/>
      <c r="G27" s="1076"/>
      <c r="H27" s="1076"/>
      <c r="I27" s="1076"/>
      <c r="J27" s="1076"/>
      <c r="K27" s="1076"/>
      <c r="L27" s="1076"/>
      <c r="M27" s="1076"/>
      <c r="N27" s="1076"/>
      <c r="O27" s="1076"/>
      <c r="P27" s="1076"/>
      <c r="Q27" s="1076"/>
      <c r="R27" s="1077"/>
      <c r="S27" s="1077"/>
      <c r="T27" s="1077"/>
      <c r="U27" s="1077"/>
    </row>
    <row r="28" spans="1:21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8"/>
    </row>
    <row r="29" spans="1:21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8"/>
    </row>
    <row r="30" spans="1:21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2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</sheetData>
  <mergeCells count="8">
    <mergeCell ref="T2:U2"/>
    <mergeCell ref="T16:U16"/>
    <mergeCell ref="D2:E2"/>
    <mergeCell ref="D16:E16"/>
    <mergeCell ref="I2:J2"/>
    <mergeCell ref="I16:J16"/>
    <mergeCell ref="O2:P2"/>
    <mergeCell ref="O16:P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opLeftCell="A35" zoomScale="75" workbookViewId="0">
      <selection activeCell="T70" sqref="T70"/>
    </sheetView>
  </sheetViews>
  <sheetFormatPr baseColWidth="10" defaultColWidth="10.83203125" defaultRowHeight="15.5"/>
  <cols>
    <col min="1" max="16" width="10.83203125" style="1084"/>
    <col min="17" max="17" width="11.6640625" style="1084" customWidth="1"/>
    <col min="18" max="16384" width="10.83203125" style="1084"/>
  </cols>
  <sheetData>
    <row r="1" spans="1:26">
      <c r="D1" s="1532" t="s">
        <v>272</v>
      </c>
      <c r="E1" s="1533"/>
      <c r="F1" s="1534"/>
      <c r="G1" s="1532" t="s">
        <v>273</v>
      </c>
      <c r="H1" s="1533"/>
      <c r="I1" s="1534"/>
      <c r="J1" s="1532" t="s">
        <v>274</v>
      </c>
      <c r="K1" s="1535"/>
      <c r="L1" s="1535"/>
      <c r="R1" s="1533" t="s">
        <v>272</v>
      </c>
      <c r="S1" s="1533"/>
      <c r="T1" s="1534"/>
      <c r="U1" s="1533" t="s">
        <v>273</v>
      </c>
      <c r="V1" s="1533"/>
      <c r="W1" s="1534"/>
      <c r="X1" s="1532" t="s">
        <v>274</v>
      </c>
      <c r="Y1" s="1535"/>
      <c r="Z1" s="1535"/>
    </row>
    <row r="2" spans="1:26">
      <c r="A2" s="1085" t="s">
        <v>275</v>
      </c>
      <c r="B2" s="1085" t="s">
        <v>276</v>
      </c>
      <c r="C2" s="1086" t="s">
        <v>277</v>
      </c>
      <c r="D2" s="1087" t="s">
        <v>278</v>
      </c>
      <c r="E2" s="1086" t="s">
        <v>279</v>
      </c>
      <c r="F2" s="1088" t="s">
        <v>280</v>
      </c>
      <c r="G2" s="1087" t="s">
        <v>278</v>
      </c>
      <c r="H2" s="1086" t="s">
        <v>279</v>
      </c>
      <c r="I2" s="1088" t="s">
        <v>280</v>
      </c>
      <c r="J2" s="1086" t="s">
        <v>278</v>
      </c>
      <c r="K2" s="1086" t="s">
        <v>279</v>
      </c>
      <c r="L2" s="1086" t="s">
        <v>280</v>
      </c>
      <c r="M2" s="1089"/>
      <c r="O2" s="1085" t="s">
        <v>275</v>
      </c>
      <c r="P2" s="1085" t="s">
        <v>276</v>
      </c>
      <c r="Q2" s="1086" t="s">
        <v>277</v>
      </c>
      <c r="R2" s="1087" t="s">
        <v>278</v>
      </c>
      <c r="S2" s="1086" t="s">
        <v>279</v>
      </c>
      <c r="T2" s="1088" t="s">
        <v>280</v>
      </c>
      <c r="U2" s="1086" t="s">
        <v>278</v>
      </c>
      <c r="V2" s="1086" t="s">
        <v>279</v>
      </c>
      <c r="W2" s="1088" t="s">
        <v>280</v>
      </c>
      <c r="X2" s="1086" t="s">
        <v>278</v>
      </c>
      <c r="Y2" s="1086" t="s">
        <v>279</v>
      </c>
      <c r="Z2" s="1086" t="s">
        <v>280</v>
      </c>
    </row>
    <row r="3" spans="1:26">
      <c r="A3" s="1089" t="s">
        <v>59</v>
      </c>
      <c r="B3" s="1089" t="s">
        <v>281</v>
      </c>
      <c r="C3" s="1085" t="s">
        <v>156</v>
      </c>
      <c r="D3" s="1090">
        <v>1.85</v>
      </c>
      <c r="E3" s="1089">
        <v>1931</v>
      </c>
      <c r="F3" s="1091">
        <v>894</v>
      </c>
      <c r="G3" s="1090">
        <v>1.93</v>
      </c>
      <c r="H3" s="1092">
        <v>2028</v>
      </c>
      <c r="I3" s="1093">
        <v>980</v>
      </c>
      <c r="J3" s="1089">
        <f t="shared" ref="J3:L16" si="0">SUM(D3+G3)</f>
        <v>3.7800000000000002</v>
      </c>
      <c r="K3" s="1089">
        <f t="shared" si="0"/>
        <v>3959</v>
      </c>
      <c r="L3" s="1089">
        <f t="shared" si="0"/>
        <v>1874</v>
      </c>
      <c r="M3" s="1089"/>
      <c r="O3" s="1089" t="s">
        <v>58</v>
      </c>
      <c r="P3" s="1089" t="s">
        <v>253</v>
      </c>
      <c r="Q3" s="1085" t="s">
        <v>156</v>
      </c>
      <c r="R3" s="1090">
        <v>2.12</v>
      </c>
      <c r="S3" s="1089">
        <v>1545</v>
      </c>
      <c r="T3" s="1091">
        <v>821</v>
      </c>
      <c r="U3" s="1089">
        <v>2.15</v>
      </c>
      <c r="V3" s="1092">
        <v>1584</v>
      </c>
      <c r="W3" s="1093">
        <v>850</v>
      </c>
      <c r="X3" s="1089">
        <f t="shared" ref="X3:Z17" si="1">SUM(R3+U3)</f>
        <v>4.2699999999999996</v>
      </c>
      <c r="Y3" s="1089">
        <f t="shared" si="1"/>
        <v>3129</v>
      </c>
      <c r="Z3" s="1089">
        <f t="shared" si="1"/>
        <v>1671</v>
      </c>
    </row>
    <row r="4" spans="1:26">
      <c r="A4" s="1094" t="s">
        <v>59</v>
      </c>
      <c r="B4" s="1094" t="s">
        <v>281</v>
      </c>
      <c r="C4" s="1095" t="s">
        <v>157</v>
      </c>
      <c r="D4" s="1096">
        <v>1.97</v>
      </c>
      <c r="E4" s="1094">
        <v>2025</v>
      </c>
      <c r="F4" s="1097">
        <v>997</v>
      </c>
      <c r="G4" s="1096">
        <v>2.15</v>
      </c>
      <c r="H4" s="1098">
        <v>2016</v>
      </c>
      <c r="I4" s="1099">
        <v>1083</v>
      </c>
      <c r="J4" s="1094">
        <f t="shared" si="0"/>
        <v>4.12</v>
      </c>
      <c r="K4" s="1094">
        <f t="shared" si="0"/>
        <v>4041</v>
      </c>
      <c r="L4" s="1094">
        <f t="shared" si="0"/>
        <v>2080</v>
      </c>
      <c r="M4" s="1089"/>
      <c r="O4" s="1094" t="s">
        <v>58</v>
      </c>
      <c r="P4" s="1094" t="s">
        <v>253</v>
      </c>
      <c r="Q4" s="1095" t="s">
        <v>157</v>
      </c>
      <c r="R4" s="1096">
        <v>2.2200000000000002</v>
      </c>
      <c r="S4" s="1094">
        <v>1674</v>
      </c>
      <c r="T4" s="1097">
        <v>927</v>
      </c>
      <c r="U4" s="1094">
        <v>2.2799999999999998</v>
      </c>
      <c r="V4" s="1098">
        <v>1663</v>
      </c>
      <c r="W4" s="1099">
        <v>946</v>
      </c>
      <c r="X4" s="1094">
        <f t="shared" si="1"/>
        <v>4.5</v>
      </c>
      <c r="Y4" s="1094">
        <f t="shared" si="1"/>
        <v>3337</v>
      </c>
      <c r="Z4" s="1094">
        <f t="shared" si="1"/>
        <v>1873</v>
      </c>
    </row>
    <row r="5" spans="1:26">
      <c r="A5" s="1100" t="s">
        <v>62</v>
      </c>
      <c r="B5" s="1100" t="s">
        <v>281</v>
      </c>
      <c r="C5" s="1101" t="s">
        <v>156</v>
      </c>
      <c r="D5" s="1102">
        <v>1.79</v>
      </c>
      <c r="E5" s="1100">
        <v>1440</v>
      </c>
      <c r="F5" s="1103">
        <v>645</v>
      </c>
      <c r="G5" s="1102">
        <v>1.92</v>
      </c>
      <c r="H5" s="1104">
        <v>1380</v>
      </c>
      <c r="I5" s="1105">
        <v>662</v>
      </c>
      <c r="J5" s="1100">
        <f t="shared" si="0"/>
        <v>3.71</v>
      </c>
      <c r="K5" s="1100">
        <f t="shared" si="0"/>
        <v>2820</v>
      </c>
      <c r="L5" s="1100">
        <f t="shared" si="0"/>
        <v>1307</v>
      </c>
      <c r="M5" s="1089"/>
      <c r="O5" s="1100" t="s">
        <v>63</v>
      </c>
      <c r="P5" s="1100" t="s">
        <v>253</v>
      </c>
      <c r="Q5" s="1101" t="s">
        <v>156</v>
      </c>
      <c r="R5" s="1102">
        <v>1.98</v>
      </c>
      <c r="S5" s="1100">
        <v>1976</v>
      </c>
      <c r="T5" s="1103">
        <v>980</v>
      </c>
      <c r="U5" s="1100">
        <v>2.11</v>
      </c>
      <c r="V5" s="1104">
        <v>1804</v>
      </c>
      <c r="W5" s="1105">
        <v>954</v>
      </c>
      <c r="X5" s="1100">
        <f t="shared" si="1"/>
        <v>4.09</v>
      </c>
      <c r="Y5" s="1100">
        <f t="shared" si="1"/>
        <v>3780</v>
      </c>
      <c r="Z5" s="1100">
        <f t="shared" si="1"/>
        <v>1934</v>
      </c>
    </row>
    <row r="6" spans="1:26">
      <c r="A6" s="1094" t="s">
        <v>62</v>
      </c>
      <c r="B6" s="1094" t="s">
        <v>281</v>
      </c>
      <c r="C6" s="1095" t="s">
        <v>157</v>
      </c>
      <c r="D6" s="1096">
        <v>1.93</v>
      </c>
      <c r="E6" s="1094">
        <v>1319</v>
      </c>
      <c r="F6" s="1097">
        <v>637</v>
      </c>
      <c r="G6" s="1096">
        <v>2.0499999999999998</v>
      </c>
      <c r="H6" s="1098">
        <v>1247</v>
      </c>
      <c r="I6" s="1099">
        <v>640</v>
      </c>
      <c r="J6" s="1094">
        <f t="shared" si="0"/>
        <v>3.9799999999999995</v>
      </c>
      <c r="K6" s="1094">
        <f t="shared" si="0"/>
        <v>2566</v>
      </c>
      <c r="L6" s="1094">
        <f t="shared" si="0"/>
        <v>1277</v>
      </c>
      <c r="M6" s="1089"/>
      <c r="O6" s="1094" t="s">
        <v>63</v>
      </c>
      <c r="P6" s="1094" t="s">
        <v>253</v>
      </c>
      <c r="Q6" s="1095" t="s">
        <v>157</v>
      </c>
      <c r="R6" s="1096">
        <v>1.97</v>
      </c>
      <c r="S6" s="1094">
        <v>2027</v>
      </c>
      <c r="T6" s="1097">
        <v>999</v>
      </c>
      <c r="U6" s="1094">
        <v>2.15</v>
      </c>
      <c r="V6" s="1098">
        <v>1918</v>
      </c>
      <c r="W6" s="1099">
        <v>1029</v>
      </c>
      <c r="X6" s="1094">
        <f t="shared" si="1"/>
        <v>4.12</v>
      </c>
      <c r="Y6" s="1094">
        <f t="shared" si="1"/>
        <v>3945</v>
      </c>
      <c r="Z6" s="1094">
        <f t="shared" si="1"/>
        <v>2028</v>
      </c>
    </row>
    <row r="7" spans="1:26">
      <c r="A7" s="1100" t="s">
        <v>64</v>
      </c>
      <c r="B7" s="1100" t="s">
        <v>281</v>
      </c>
      <c r="C7" s="1101" t="s">
        <v>156</v>
      </c>
      <c r="D7" s="1102">
        <v>2</v>
      </c>
      <c r="E7" s="1100">
        <v>1759</v>
      </c>
      <c r="F7" s="1103">
        <v>878</v>
      </c>
      <c r="G7" s="1102">
        <v>2.0299999999999998</v>
      </c>
      <c r="H7" s="1104">
        <v>1760</v>
      </c>
      <c r="I7" s="1105">
        <v>894</v>
      </c>
      <c r="J7" s="1100">
        <f t="shared" si="0"/>
        <v>4.0299999999999994</v>
      </c>
      <c r="K7" s="1100">
        <f t="shared" si="0"/>
        <v>3519</v>
      </c>
      <c r="L7" s="1100">
        <f t="shared" si="0"/>
        <v>1772</v>
      </c>
      <c r="M7" s="1089"/>
      <c r="O7" s="1100" t="s">
        <v>65</v>
      </c>
      <c r="P7" s="1100" t="s">
        <v>253</v>
      </c>
      <c r="Q7" s="1101" t="s">
        <v>156</v>
      </c>
      <c r="R7" s="1102">
        <v>2.4</v>
      </c>
      <c r="S7" s="1100">
        <v>1257</v>
      </c>
      <c r="T7" s="1103">
        <v>753</v>
      </c>
      <c r="U7" s="1100">
        <v>2.2400000000000002</v>
      </c>
      <c r="V7" s="1104">
        <v>1420</v>
      </c>
      <c r="W7" s="1105">
        <v>795</v>
      </c>
      <c r="X7" s="1100">
        <f t="shared" si="1"/>
        <v>4.6400000000000006</v>
      </c>
      <c r="Y7" s="1100">
        <f t="shared" si="1"/>
        <v>2677</v>
      </c>
      <c r="Z7" s="1100">
        <f t="shared" si="1"/>
        <v>1548</v>
      </c>
    </row>
    <row r="8" spans="1:26">
      <c r="A8" s="1094" t="s">
        <v>64</v>
      </c>
      <c r="B8" s="1094" t="s">
        <v>281</v>
      </c>
      <c r="C8" s="1095" t="s">
        <v>157</v>
      </c>
      <c r="D8" s="1096">
        <v>1.87</v>
      </c>
      <c r="E8" s="1094">
        <v>1893</v>
      </c>
      <c r="F8" s="1097">
        <v>884</v>
      </c>
      <c r="G8" s="1096">
        <v>1.87</v>
      </c>
      <c r="H8" s="1098">
        <v>1902</v>
      </c>
      <c r="I8" s="1099">
        <v>891</v>
      </c>
      <c r="J8" s="1094">
        <f t="shared" si="0"/>
        <v>3.74</v>
      </c>
      <c r="K8" s="1094">
        <f t="shared" si="0"/>
        <v>3795</v>
      </c>
      <c r="L8" s="1094">
        <f t="shared" si="0"/>
        <v>1775</v>
      </c>
      <c r="M8" s="1089"/>
      <c r="O8" s="1094" t="s">
        <v>65</v>
      </c>
      <c r="P8" s="1094" t="s">
        <v>253</v>
      </c>
      <c r="Q8" s="1095" t="s">
        <v>157</v>
      </c>
      <c r="R8" s="1096">
        <v>2.3199999999999998</v>
      </c>
      <c r="S8" s="1094">
        <v>1367</v>
      </c>
      <c r="T8" s="1097">
        <v>793</v>
      </c>
      <c r="U8" s="1094">
        <v>2.33</v>
      </c>
      <c r="V8" s="1098">
        <v>1438</v>
      </c>
      <c r="W8" s="1099">
        <v>839</v>
      </c>
      <c r="X8" s="1094">
        <f t="shared" si="1"/>
        <v>4.6500000000000004</v>
      </c>
      <c r="Y8" s="1094">
        <f t="shared" si="1"/>
        <v>2805</v>
      </c>
      <c r="Z8" s="1094">
        <f t="shared" si="1"/>
        <v>1632</v>
      </c>
    </row>
    <row r="9" spans="1:26">
      <c r="A9" s="1100" t="s">
        <v>67</v>
      </c>
      <c r="B9" s="1100" t="s">
        <v>281</v>
      </c>
      <c r="C9" s="1101" t="s">
        <v>156</v>
      </c>
      <c r="D9" s="1102">
        <v>2.2999999999999998</v>
      </c>
      <c r="E9" s="1100">
        <v>993</v>
      </c>
      <c r="F9" s="1103">
        <v>570</v>
      </c>
      <c r="G9" s="1106">
        <v>2.41</v>
      </c>
      <c r="H9" s="1104">
        <v>989</v>
      </c>
      <c r="I9" s="1105">
        <v>595</v>
      </c>
      <c r="J9" s="1100">
        <f t="shared" si="0"/>
        <v>4.71</v>
      </c>
      <c r="K9" s="1100">
        <f t="shared" si="0"/>
        <v>1982</v>
      </c>
      <c r="L9" s="1100">
        <f t="shared" si="0"/>
        <v>1165</v>
      </c>
      <c r="M9" s="1089"/>
      <c r="O9" s="1100" t="s">
        <v>66</v>
      </c>
      <c r="P9" s="1100" t="s">
        <v>253</v>
      </c>
      <c r="Q9" s="1101" t="s">
        <v>156</v>
      </c>
      <c r="R9" s="1102">
        <v>2.58</v>
      </c>
      <c r="S9" s="1100">
        <v>1371</v>
      </c>
      <c r="T9" s="1103">
        <v>884</v>
      </c>
      <c r="U9" s="1100">
        <v>2.63</v>
      </c>
      <c r="V9" s="1104">
        <v>1435</v>
      </c>
      <c r="W9" s="1105">
        <v>943</v>
      </c>
      <c r="X9" s="1100">
        <f t="shared" si="1"/>
        <v>5.21</v>
      </c>
      <c r="Y9" s="1100">
        <f t="shared" si="1"/>
        <v>2806</v>
      </c>
      <c r="Z9" s="1100">
        <f t="shared" si="1"/>
        <v>1827</v>
      </c>
    </row>
    <row r="10" spans="1:26">
      <c r="A10" s="1094" t="s">
        <v>67</v>
      </c>
      <c r="B10" s="1094" t="s">
        <v>281</v>
      </c>
      <c r="C10" s="1095" t="s">
        <v>157</v>
      </c>
      <c r="D10" s="1096">
        <v>2.39</v>
      </c>
      <c r="E10" s="1094">
        <v>962</v>
      </c>
      <c r="F10" s="1097">
        <v>576</v>
      </c>
      <c r="G10" s="1107">
        <v>2.5299999999999998</v>
      </c>
      <c r="H10" s="1098">
        <v>961</v>
      </c>
      <c r="I10" s="1099">
        <v>608</v>
      </c>
      <c r="J10" s="1094">
        <f t="shared" si="0"/>
        <v>4.92</v>
      </c>
      <c r="K10" s="1094">
        <f t="shared" si="0"/>
        <v>1923</v>
      </c>
      <c r="L10" s="1094">
        <f t="shared" si="0"/>
        <v>1184</v>
      </c>
      <c r="M10" s="1089"/>
      <c r="O10" s="1094" t="s">
        <v>66</v>
      </c>
      <c r="P10" s="1094" t="s">
        <v>253</v>
      </c>
      <c r="Q10" s="1095" t="s">
        <v>157</v>
      </c>
      <c r="R10" s="1096">
        <v>2.5099999999999998</v>
      </c>
      <c r="S10" s="1094">
        <v>1431</v>
      </c>
      <c r="T10" s="1097">
        <v>897</v>
      </c>
      <c r="U10" s="1098">
        <v>2.65</v>
      </c>
      <c r="V10" s="1098">
        <v>1443</v>
      </c>
      <c r="W10" s="1099">
        <v>957</v>
      </c>
      <c r="X10" s="1094">
        <f t="shared" si="1"/>
        <v>5.16</v>
      </c>
      <c r="Y10" s="1094">
        <f t="shared" si="1"/>
        <v>2874</v>
      </c>
      <c r="Z10" s="1094">
        <f t="shared" si="1"/>
        <v>1854</v>
      </c>
    </row>
    <row r="11" spans="1:26">
      <c r="A11" s="1100" t="s">
        <v>68</v>
      </c>
      <c r="B11" s="1100" t="s">
        <v>281</v>
      </c>
      <c r="C11" s="1101" t="s">
        <v>156</v>
      </c>
      <c r="D11" s="1102">
        <v>2.3199999999999998</v>
      </c>
      <c r="E11" s="1100">
        <v>1397</v>
      </c>
      <c r="F11" s="1103">
        <v>811</v>
      </c>
      <c r="G11" s="1106">
        <v>2.4500000000000002</v>
      </c>
      <c r="H11" s="1104">
        <v>1411</v>
      </c>
      <c r="I11" s="1105">
        <v>864</v>
      </c>
      <c r="J11" s="1100">
        <f t="shared" si="0"/>
        <v>4.7699999999999996</v>
      </c>
      <c r="K11" s="1100">
        <f t="shared" si="0"/>
        <v>2808</v>
      </c>
      <c r="L11" s="1100">
        <f t="shared" si="0"/>
        <v>1675</v>
      </c>
      <c r="M11" s="1089"/>
      <c r="O11" s="1100" t="s">
        <v>69</v>
      </c>
      <c r="P11" s="1100" t="s">
        <v>253</v>
      </c>
      <c r="Q11" s="1101" t="s">
        <v>156</v>
      </c>
      <c r="R11" s="1102">
        <v>1.38</v>
      </c>
      <c r="S11" s="1100">
        <v>1483</v>
      </c>
      <c r="T11" s="1103">
        <v>511</v>
      </c>
      <c r="U11" s="1104">
        <v>1.3</v>
      </c>
      <c r="V11" s="1104">
        <v>1471</v>
      </c>
      <c r="W11" s="1105">
        <v>479</v>
      </c>
      <c r="X11" s="1100">
        <f t="shared" si="1"/>
        <v>2.6799999999999997</v>
      </c>
      <c r="Y11" s="1100">
        <f t="shared" si="1"/>
        <v>2954</v>
      </c>
      <c r="Z11" s="1100">
        <f t="shared" si="1"/>
        <v>990</v>
      </c>
    </row>
    <row r="12" spans="1:26">
      <c r="A12" s="1094" t="s">
        <v>68</v>
      </c>
      <c r="B12" s="1094" t="s">
        <v>281</v>
      </c>
      <c r="C12" s="1095" t="s">
        <v>157</v>
      </c>
      <c r="D12" s="1096">
        <v>2.4300000000000002</v>
      </c>
      <c r="E12" s="1094">
        <v>1410</v>
      </c>
      <c r="F12" s="1097">
        <v>858</v>
      </c>
      <c r="G12" s="1107">
        <v>2.5</v>
      </c>
      <c r="H12" s="1098">
        <v>1449</v>
      </c>
      <c r="I12" s="1099">
        <v>906</v>
      </c>
      <c r="J12" s="1094">
        <f t="shared" si="0"/>
        <v>4.93</v>
      </c>
      <c r="K12" s="1094">
        <f t="shared" si="0"/>
        <v>2859</v>
      </c>
      <c r="L12" s="1094">
        <f t="shared" si="0"/>
        <v>1764</v>
      </c>
      <c r="M12" s="1089"/>
      <c r="O12" s="1094" t="s">
        <v>69</v>
      </c>
      <c r="P12" s="1094" t="s">
        <v>253</v>
      </c>
      <c r="Q12" s="1095" t="s">
        <v>157</v>
      </c>
      <c r="R12" s="1096">
        <v>1.21</v>
      </c>
      <c r="S12" s="1094">
        <v>1148</v>
      </c>
      <c r="T12" s="1097">
        <v>349</v>
      </c>
      <c r="U12" s="1098">
        <v>1.19</v>
      </c>
      <c r="V12" s="1098">
        <v>1226</v>
      </c>
      <c r="W12" s="1099">
        <v>364</v>
      </c>
      <c r="X12" s="1094">
        <f t="shared" si="1"/>
        <v>2.4</v>
      </c>
      <c r="Y12" s="1094">
        <f t="shared" si="1"/>
        <v>2374</v>
      </c>
      <c r="Z12" s="1094">
        <f t="shared" si="1"/>
        <v>713</v>
      </c>
    </row>
    <row r="13" spans="1:26">
      <c r="A13" s="1108" t="s">
        <v>71</v>
      </c>
      <c r="B13" s="1108" t="s">
        <v>281</v>
      </c>
      <c r="C13" s="1101" t="s">
        <v>156</v>
      </c>
      <c r="D13" s="1109">
        <v>1.48</v>
      </c>
      <c r="E13" s="1108">
        <v>2092</v>
      </c>
      <c r="F13" s="1110">
        <v>773</v>
      </c>
      <c r="G13" s="1111">
        <v>1.4</v>
      </c>
      <c r="H13" s="1112">
        <v>2134</v>
      </c>
      <c r="I13" s="1113">
        <v>749</v>
      </c>
      <c r="J13" s="1100">
        <f t="shared" si="0"/>
        <v>2.88</v>
      </c>
      <c r="K13" s="1100">
        <f t="shared" si="0"/>
        <v>4226</v>
      </c>
      <c r="L13" s="1100">
        <f t="shared" si="0"/>
        <v>1522</v>
      </c>
      <c r="M13" s="1089"/>
      <c r="O13" s="1089" t="s">
        <v>70</v>
      </c>
      <c r="P13" s="1089" t="s">
        <v>253</v>
      </c>
      <c r="Q13" s="1114" t="s">
        <v>282</v>
      </c>
      <c r="R13" s="1090">
        <v>1.95</v>
      </c>
      <c r="S13" s="1089">
        <v>1184</v>
      </c>
      <c r="T13" s="1089">
        <v>577</v>
      </c>
      <c r="U13" s="1092">
        <v>1.98</v>
      </c>
      <c r="V13" s="1092">
        <v>1203</v>
      </c>
      <c r="W13" s="1092">
        <v>596</v>
      </c>
      <c r="X13" s="1089">
        <f t="shared" si="1"/>
        <v>3.9299999999999997</v>
      </c>
      <c r="Y13" s="1089">
        <f t="shared" si="1"/>
        <v>2387</v>
      </c>
      <c r="Z13" s="1089">
        <f t="shared" si="1"/>
        <v>1173</v>
      </c>
    </row>
    <row r="14" spans="1:26">
      <c r="A14" s="1115" t="s">
        <v>71</v>
      </c>
      <c r="B14" s="1115" t="s">
        <v>281</v>
      </c>
      <c r="C14" s="1095" t="s">
        <v>157</v>
      </c>
      <c r="D14" s="1116">
        <v>2.17</v>
      </c>
      <c r="E14" s="1115">
        <v>1559</v>
      </c>
      <c r="F14" s="1117">
        <v>846</v>
      </c>
      <c r="G14" s="1118">
        <v>2.11</v>
      </c>
      <c r="H14" s="1119">
        <v>1577</v>
      </c>
      <c r="I14" s="1120">
        <v>832</v>
      </c>
      <c r="J14" s="1094">
        <f t="shared" si="0"/>
        <v>4.2799999999999994</v>
      </c>
      <c r="K14" s="1094">
        <f t="shared" si="0"/>
        <v>3136</v>
      </c>
      <c r="L14" s="1094">
        <f t="shared" si="0"/>
        <v>1678</v>
      </c>
      <c r="M14" s="1089"/>
      <c r="O14" s="1092" t="s">
        <v>70</v>
      </c>
      <c r="P14" s="1092" t="s">
        <v>253</v>
      </c>
      <c r="Q14" s="1114" t="s">
        <v>283</v>
      </c>
      <c r="R14" s="1121">
        <v>1.99</v>
      </c>
      <c r="S14" s="1092">
        <v>1230</v>
      </c>
      <c r="T14" s="1092">
        <v>613</v>
      </c>
      <c r="U14" s="1092">
        <v>2</v>
      </c>
      <c r="V14" s="1092">
        <v>1257</v>
      </c>
      <c r="W14" s="1092">
        <v>630</v>
      </c>
      <c r="X14" s="1089">
        <f t="shared" si="1"/>
        <v>3.99</v>
      </c>
      <c r="Y14" s="1089">
        <f t="shared" si="1"/>
        <v>2487</v>
      </c>
      <c r="Z14" s="1089">
        <f t="shared" si="1"/>
        <v>1243</v>
      </c>
    </row>
    <row r="15" spans="1:26">
      <c r="A15" s="1100" t="s">
        <v>73</v>
      </c>
      <c r="B15" s="1100" t="s">
        <v>281</v>
      </c>
      <c r="C15" s="1101" t="s">
        <v>156</v>
      </c>
      <c r="D15" s="1102">
        <v>1.44</v>
      </c>
      <c r="E15" s="1100">
        <v>2101</v>
      </c>
      <c r="F15" s="1103">
        <v>758</v>
      </c>
      <c r="G15" s="1102">
        <v>1.34</v>
      </c>
      <c r="H15" s="1100">
        <v>2382</v>
      </c>
      <c r="I15" s="1103">
        <v>796</v>
      </c>
      <c r="J15" s="1100">
        <f t="shared" si="0"/>
        <v>2.7800000000000002</v>
      </c>
      <c r="K15" s="1100">
        <f t="shared" si="0"/>
        <v>4483</v>
      </c>
      <c r="L15" s="1100">
        <f t="shared" si="0"/>
        <v>1554</v>
      </c>
      <c r="M15" s="1089"/>
      <c r="O15" s="1094" t="s">
        <v>70</v>
      </c>
      <c r="P15" s="1094" t="s">
        <v>253</v>
      </c>
      <c r="Q15" s="1095" t="s">
        <v>157</v>
      </c>
      <c r="R15" s="1096">
        <v>1.97</v>
      </c>
      <c r="S15" s="1094">
        <v>1238</v>
      </c>
      <c r="T15" s="1094">
        <v>609</v>
      </c>
      <c r="U15" s="1098">
        <v>2.0099999999999998</v>
      </c>
      <c r="V15" s="1098">
        <v>1292</v>
      </c>
      <c r="W15" s="1098">
        <v>648</v>
      </c>
      <c r="X15" s="1094">
        <f t="shared" si="1"/>
        <v>3.9799999999999995</v>
      </c>
      <c r="Y15" s="1094">
        <f t="shared" si="1"/>
        <v>2530</v>
      </c>
      <c r="Z15" s="1094">
        <f t="shared" si="1"/>
        <v>1257</v>
      </c>
    </row>
    <row r="16" spans="1:26">
      <c r="A16" s="1094" t="s">
        <v>73</v>
      </c>
      <c r="B16" s="1094" t="s">
        <v>281</v>
      </c>
      <c r="C16" s="1095" t="s">
        <v>157</v>
      </c>
      <c r="D16" s="1096">
        <v>1.77</v>
      </c>
      <c r="E16" s="1094">
        <v>1643</v>
      </c>
      <c r="F16" s="1097">
        <v>728</v>
      </c>
      <c r="G16" s="1096">
        <v>1.87</v>
      </c>
      <c r="H16" s="1094">
        <v>1699</v>
      </c>
      <c r="I16" s="1097">
        <v>794</v>
      </c>
      <c r="J16" s="1094">
        <f t="shared" si="0"/>
        <v>3.64</v>
      </c>
      <c r="K16" s="1094">
        <f t="shared" si="0"/>
        <v>3342</v>
      </c>
      <c r="L16" s="1094">
        <f t="shared" si="0"/>
        <v>1522</v>
      </c>
      <c r="M16" s="1089"/>
      <c r="O16" s="1100" t="s">
        <v>74</v>
      </c>
      <c r="P16" s="1100" t="s">
        <v>253</v>
      </c>
      <c r="Q16" s="1101" t="s">
        <v>156</v>
      </c>
      <c r="R16" s="1102">
        <v>1.68</v>
      </c>
      <c r="S16" s="1100">
        <v>1687</v>
      </c>
      <c r="T16" s="1103">
        <v>708</v>
      </c>
      <c r="U16" s="1100">
        <v>1.64</v>
      </c>
      <c r="V16" s="1100">
        <v>1692</v>
      </c>
      <c r="W16" s="1103">
        <v>692</v>
      </c>
      <c r="X16" s="1100">
        <f t="shared" si="1"/>
        <v>3.32</v>
      </c>
      <c r="Y16" s="1100">
        <f t="shared" si="1"/>
        <v>3379</v>
      </c>
      <c r="Z16" s="1100">
        <f t="shared" si="1"/>
        <v>1400</v>
      </c>
    </row>
    <row r="17" spans="1:26">
      <c r="M17" s="1089"/>
      <c r="O17" s="1094" t="s">
        <v>74</v>
      </c>
      <c r="P17" s="1094" t="s">
        <v>253</v>
      </c>
      <c r="Q17" s="1095" t="s">
        <v>157</v>
      </c>
      <c r="R17" s="1096">
        <v>1.77</v>
      </c>
      <c r="S17" s="1094">
        <v>1503</v>
      </c>
      <c r="T17" s="1097">
        <v>665</v>
      </c>
      <c r="U17" s="1094">
        <v>1.8</v>
      </c>
      <c r="V17" s="1094">
        <v>1429</v>
      </c>
      <c r="W17" s="1097">
        <v>643</v>
      </c>
      <c r="X17" s="1094">
        <f t="shared" si="1"/>
        <v>3.5700000000000003</v>
      </c>
      <c r="Y17" s="1094">
        <f t="shared" si="1"/>
        <v>2932</v>
      </c>
      <c r="Z17" s="1094">
        <f t="shared" si="1"/>
        <v>1308</v>
      </c>
    </row>
    <row r="18" spans="1:26">
      <c r="A18" s="1084" t="s">
        <v>284</v>
      </c>
      <c r="M18" s="1089"/>
      <c r="O18" s="1122" t="s">
        <v>285</v>
      </c>
      <c r="P18" s="1123"/>
      <c r="Q18" s="1089"/>
      <c r="R18" s="1089"/>
      <c r="S18" s="1089"/>
      <c r="T18" s="1089"/>
      <c r="U18" s="1089"/>
      <c r="V18" s="1089"/>
      <c r="W18" s="1089"/>
      <c r="X18" s="1089"/>
      <c r="Y18" s="1089"/>
      <c r="Z18" s="1089"/>
    </row>
    <row r="19" spans="1:26">
      <c r="A19" s="1084" t="s">
        <v>286</v>
      </c>
      <c r="M19" s="1089"/>
    </row>
    <row r="20" spans="1:26">
      <c r="A20" s="1084" t="s">
        <v>287</v>
      </c>
      <c r="M20" s="1089"/>
    </row>
    <row r="21" spans="1:26">
      <c r="M21" s="1089"/>
    </row>
    <row r="22" spans="1:26">
      <c r="D22" s="1529" t="s">
        <v>272</v>
      </c>
      <c r="E22" s="1530"/>
      <c r="F22" s="1531"/>
      <c r="G22" s="1529" t="s">
        <v>273</v>
      </c>
      <c r="H22" s="1530"/>
      <c r="I22" s="1531"/>
      <c r="J22" s="1529" t="s">
        <v>274</v>
      </c>
      <c r="K22" s="1530"/>
      <c r="L22" s="1531"/>
      <c r="M22" s="1089"/>
      <c r="R22" s="1529" t="s">
        <v>272</v>
      </c>
      <c r="S22" s="1530"/>
      <c r="T22" s="1531"/>
      <c r="U22" s="1529" t="s">
        <v>273</v>
      </c>
      <c r="V22" s="1530"/>
      <c r="W22" s="1531"/>
      <c r="X22" s="1529" t="s">
        <v>274</v>
      </c>
      <c r="Y22" s="1530"/>
      <c r="Z22" s="1531"/>
    </row>
    <row r="23" spans="1:26">
      <c r="A23" s="1085" t="s">
        <v>275</v>
      </c>
      <c r="B23" s="1085" t="s">
        <v>276</v>
      </c>
      <c r="C23" s="1086" t="s">
        <v>277</v>
      </c>
      <c r="D23" s="1087" t="s">
        <v>278</v>
      </c>
      <c r="E23" s="1086" t="s">
        <v>279</v>
      </c>
      <c r="F23" s="1088" t="s">
        <v>280</v>
      </c>
      <c r="G23" s="1087" t="s">
        <v>278</v>
      </c>
      <c r="H23" s="1086" t="s">
        <v>279</v>
      </c>
      <c r="I23" s="1088" t="s">
        <v>280</v>
      </c>
      <c r="J23" s="1087" t="s">
        <v>278</v>
      </c>
      <c r="K23" s="1086" t="s">
        <v>279</v>
      </c>
      <c r="L23" s="1088" t="s">
        <v>280</v>
      </c>
      <c r="M23" s="1089"/>
      <c r="O23" s="1085" t="s">
        <v>275</v>
      </c>
      <c r="P23" s="1085" t="s">
        <v>276</v>
      </c>
      <c r="Q23" s="1086" t="s">
        <v>277</v>
      </c>
      <c r="R23" s="1087" t="s">
        <v>278</v>
      </c>
      <c r="S23" s="1086" t="s">
        <v>279</v>
      </c>
      <c r="T23" s="1088" t="s">
        <v>280</v>
      </c>
      <c r="U23" s="1087" t="s">
        <v>278</v>
      </c>
      <c r="V23" s="1086" t="s">
        <v>279</v>
      </c>
      <c r="W23" s="1088" t="s">
        <v>280</v>
      </c>
      <c r="X23" s="1087" t="s">
        <v>278</v>
      </c>
      <c r="Y23" s="1086" t="s">
        <v>279</v>
      </c>
      <c r="Z23" s="1088" t="s">
        <v>280</v>
      </c>
    </row>
    <row r="24" spans="1:26">
      <c r="A24" s="1089" t="s">
        <v>59</v>
      </c>
      <c r="B24" s="1089" t="s">
        <v>281</v>
      </c>
      <c r="C24" s="1085" t="s">
        <v>156</v>
      </c>
      <c r="D24" s="1090">
        <v>1.85</v>
      </c>
      <c r="E24" s="1089">
        <v>1931</v>
      </c>
      <c r="F24" s="1091">
        <v>894</v>
      </c>
      <c r="G24" s="1090">
        <v>1.93</v>
      </c>
      <c r="H24" s="1092">
        <v>2028</v>
      </c>
      <c r="I24" s="1093">
        <v>980</v>
      </c>
      <c r="J24" s="1090">
        <f t="shared" ref="J24:L30" si="2">SUM(D24+G24)</f>
        <v>3.7800000000000002</v>
      </c>
      <c r="K24" s="1089">
        <f t="shared" si="2"/>
        <v>3959</v>
      </c>
      <c r="L24" s="1091">
        <f t="shared" si="2"/>
        <v>1874</v>
      </c>
      <c r="M24" s="1089"/>
      <c r="O24" s="1089" t="s">
        <v>58</v>
      </c>
      <c r="P24" s="1089" t="s">
        <v>253</v>
      </c>
      <c r="Q24" s="1085" t="s">
        <v>156</v>
      </c>
      <c r="R24" s="1090">
        <v>2.12</v>
      </c>
      <c r="S24" s="1089">
        <v>1545</v>
      </c>
      <c r="T24" s="1091">
        <v>821</v>
      </c>
      <c r="U24" s="1090">
        <v>2.15</v>
      </c>
      <c r="V24" s="1092">
        <v>1584</v>
      </c>
      <c r="W24" s="1093">
        <v>850</v>
      </c>
      <c r="X24" s="1090">
        <f t="shared" ref="X24:Z30" si="3">SUM(R24+U24)</f>
        <v>4.2699999999999996</v>
      </c>
      <c r="Y24" s="1089">
        <f t="shared" si="3"/>
        <v>3129</v>
      </c>
      <c r="Z24" s="1091">
        <f t="shared" si="3"/>
        <v>1671</v>
      </c>
    </row>
    <row r="25" spans="1:26">
      <c r="A25" s="1089" t="s">
        <v>62</v>
      </c>
      <c r="B25" s="1089" t="s">
        <v>281</v>
      </c>
      <c r="C25" s="1085" t="s">
        <v>156</v>
      </c>
      <c r="D25" s="1090">
        <v>1.79</v>
      </c>
      <c r="E25" s="1089">
        <v>1440</v>
      </c>
      <c r="F25" s="1091">
        <v>645</v>
      </c>
      <c r="G25" s="1090">
        <v>1.92</v>
      </c>
      <c r="H25" s="1092">
        <v>1380</v>
      </c>
      <c r="I25" s="1093">
        <v>662</v>
      </c>
      <c r="J25" s="1090">
        <f t="shared" si="2"/>
        <v>3.71</v>
      </c>
      <c r="K25" s="1089">
        <f t="shared" si="2"/>
        <v>2820</v>
      </c>
      <c r="L25" s="1091">
        <f t="shared" si="2"/>
        <v>1307</v>
      </c>
      <c r="M25" s="1089"/>
      <c r="O25" s="1089" t="s">
        <v>63</v>
      </c>
      <c r="P25" s="1089" t="s">
        <v>253</v>
      </c>
      <c r="Q25" s="1085" t="s">
        <v>156</v>
      </c>
      <c r="R25" s="1090">
        <v>1.98</v>
      </c>
      <c r="S25" s="1089">
        <v>1976</v>
      </c>
      <c r="T25" s="1091">
        <v>980</v>
      </c>
      <c r="U25" s="1090">
        <v>2.11</v>
      </c>
      <c r="V25" s="1092">
        <v>1804</v>
      </c>
      <c r="W25" s="1093">
        <v>954</v>
      </c>
      <c r="X25" s="1090">
        <f t="shared" si="3"/>
        <v>4.09</v>
      </c>
      <c r="Y25" s="1089">
        <f t="shared" si="3"/>
        <v>3780</v>
      </c>
      <c r="Z25" s="1091">
        <f t="shared" si="3"/>
        <v>1934</v>
      </c>
    </row>
    <row r="26" spans="1:26">
      <c r="A26" s="1089" t="s">
        <v>64</v>
      </c>
      <c r="B26" s="1089" t="s">
        <v>281</v>
      </c>
      <c r="C26" s="1085" t="s">
        <v>156</v>
      </c>
      <c r="D26" s="1090">
        <v>2</v>
      </c>
      <c r="E26" s="1089">
        <v>1759</v>
      </c>
      <c r="F26" s="1091">
        <v>878</v>
      </c>
      <c r="G26" s="1090">
        <v>2.0299999999999998</v>
      </c>
      <c r="H26" s="1092">
        <v>1760</v>
      </c>
      <c r="I26" s="1093">
        <v>894</v>
      </c>
      <c r="J26" s="1090">
        <f t="shared" si="2"/>
        <v>4.0299999999999994</v>
      </c>
      <c r="K26" s="1089">
        <f t="shared" si="2"/>
        <v>3519</v>
      </c>
      <c r="L26" s="1091">
        <f t="shared" si="2"/>
        <v>1772</v>
      </c>
      <c r="M26" s="1089"/>
      <c r="O26" s="1089" t="s">
        <v>65</v>
      </c>
      <c r="P26" s="1089" t="s">
        <v>253</v>
      </c>
      <c r="Q26" s="1085" t="s">
        <v>156</v>
      </c>
      <c r="R26" s="1090">
        <v>2.4</v>
      </c>
      <c r="S26" s="1089">
        <v>1257</v>
      </c>
      <c r="T26" s="1091">
        <v>753</v>
      </c>
      <c r="U26" s="1090">
        <v>2.2400000000000002</v>
      </c>
      <c r="V26" s="1092">
        <v>1420</v>
      </c>
      <c r="W26" s="1093">
        <v>795</v>
      </c>
      <c r="X26" s="1090">
        <f t="shared" si="3"/>
        <v>4.6400000000000006</v>
      </c>
      <c r="Y26" s="1089">
        <f t="shared" si="3"/>
        <v>2677</v>
      </c>
      <c r="Z26" s="1091">
        <f t="shared" si="3"/>
        <v>1548</v>
      </c>
    </row>
    <row r="27" spans="1:26">
      <c r="A27" s="1089" t="s">
        <v>67</v>
      </c>
      <c r="B27" s="1089" t="s">
        <v>281</v>
      </c>
      <c r="C27" s="1085" t="s">
        <v>156</v>
      </c>
      <c r="D27" s="1090">
        <v>2.2999999999999998</v>
      </c>
      <c r="E27" s="1089">
        <v>993</v>
      </c>
      <c r="F27" s="1091">
        <v>570</v>
      </c>
      <c r="G27" s="1121">
        <v>2.41</v>
      </c>
      <c r="H27" s="1092">
        <v>989</v>
      </c>
      <c r="I27" s="1093">
        <v>595</v>
      </c>
      <c r="J27" s="1090">
        <f t="shared" si="2"/>
        <v>4.71</v>
      </c>
      <c r="K27" s="1089">
        <f t="shared" si="2"/>
        <v>1982</v>
      </c>
      <c r="L27" s="1091">
        <f t="shared" si="2"/>
        <v>1165</v>
      </c>
      <c r="M27" s="1089"/>
      <c r="O27" s="1089" t="s">
        <v>66</v>
      </c>
      <c r="P27" s="1089" t="s">
        <v>253</v>
      </c>
      <c r="Q27" s="1085" t="s">
        <v>156</v>
      </c>
      <c r="R27" s="1090">
        <v>2.58</v>
      </c>
      <c r="S27" s="1089">
        <v>1371</v>
      </c>
      <c r="T27" s="1091">
        <v>884</v>
      </c>
      <c r="U27" s="1090">
        <v>2.63</v>
      </c>
      <c r="V27" s="1092">
        <v>1435</v>
      </c>
      <c r="W27" s="1093">
        <v>943</v>
      </c>
      <c r="X27" s="1090">
        <f t="shared" si="3"/>
        <v>5.21</v>
      </c>
      <c r="Y27" s="1089">
        <f t="shared" si="3"/>
        <v>2806</v>
      </c>
      <c r="Z27" s="1091">
        <f t="shared" si="3"/>
        <v>1827</v>
      </c>
    </row>
    <row r="28" spans="1:26">
      <c r="A28" s="1089" t="s">
        <v>68</v>
      </c>
      <c r="B28" s="1089" t="s">
        <v>281</v>
      </c>
      <c r="C28" s="1085" t="s">
        <v>156</v>
      </c>
      <c r="D28" s="1090">
        <v>2.3199999999999998</v>
      </c>
      <c r="E28" s="1089">
        <v>1397</v>
      </c>
      <c r="F28" s="1091">
        <v>811</v>
      </c>
      <c r="G28" s="1121">
        <v>2.4500000000000002</v>
      </c>
      <c r="H28" s="1092">
        <v>1411</v>
      </c>
      <c r="I28" s="1093">
        <v>864</v>
      </c>
      <c r="J28" s="1090">
        <f t="shared" si="2"/>
        <v>4.7699999999999996</v>
      </c>
      <c r="K28" s="1089">
        <f t="shared" si="2"/>
        <v>2808</v>
      </c>
      <c r="L28" s="1091">
        <f t="shared" si="2"/>
        <v>1675</v>
      </c>
      <c r="M28" s="1089"/>
      <c r="O28" s="1089" t="s">
        <v>69</v>
      </c>
      <c r="P28" s="1089" t="s">
        <v>253</v>
      </c>
      <c r="Q28" s="1085" t="s">
        <v>156</v>
      </c>
      <c r="R28" s="1090">
        <v>1.38</v>
      </c>
      <c r="S28" s="1089">
        <v>1483</v>
      </c>
      <c r="T28" s="1091">
        <v>511</v>
      </c>
      <c r="U28" s="1121">
        <v>1.3</v>
      </c>
      <c r="V28" s="1092">
        <v>1471</v>
      </c>
      <c r="W28" s="1093">
        <v>479</v>
      </c>
      <c r="X28" s="1090">
        <f t="shared" si="3"/>
        <v>2.6799999999999997</v>
      </c>
      <c r="Y28" s="1089">
        <f t="shared" si="3"/>
        <v>2954</v>
      </c>
      <c r="Z28" s="1091">
        <f t="shared" si="3"/>
        <v>990</v>
      </c>
    </row>
    <row r="29" spans="1:26">
      <c r="A29" s="1124" t="s">
        <v>71</v>
      </c>
      <c r="B29" s="1124" t="s">
        <v>281</v>
      </c>
      <c r="C29" s="1085" t="s">
        <v>156</v>
      </c>
      <c r="D29" s="1125">
        <v>1.48</v>
      </c>
      <c r="E29" s="1124">
        <v>2092</v>
      </c>
      <c r="F29" s="1126">
        <v>773</v>
      </c>
      <c r="G29" s="1127">
        <v>1.4</v>
      </c>
      <c r="H29" s="1128">
        <v>2134</v>
      </c>
      <c r="I29" s="1129">
        <v>749</v>
      </c>
      <c r="J29" s="1090">
        <f t="shared" si="2"/>
        <v>2.88</v>
      </c>
      <c r="K29" s="1089">
        <f t="shared" si="2"/>
        <v>4226</v>
      </c>
      <c r="L29" s="1091">
        <f t="shared" si="2"/>
        <v>1522</v>
      </c>
      <c r="M29" s="1089"/>
      <c r="O29" s="1092" t="s">
        <v>70</v>
      </c>
      <c r="P29" s="1092" t="s">
        <v>253</v>
      </c>
      <c r="Q29" s="1114" t="s">
        <v>283</v>
      </c>
      <c r="R29" s="1121">
        <v>1.99</v>
      </c>
      <c r="S29" s="1092">
        <v>1230</v>
      </c>
      <c r="T29" s="1093">
        <v>613</v>
      </c>
      <c r="U29" s="1121">
        <v>2</v>
      </c>
      <c r="V29" s="1092">
        <v>1257</v>
      </c>
      <c r="W29" s="1093">
        <v>630</v>
      </c>
      <c r="X29" s="1090">
        <f t="shared" si="3"/>
        <v>3.99</v>
      </c>
      <c r="Y29" s="1089">
        <f t="shared" si="3"/>
        <v>2487</v>
      </c>
      <c r="Z29" s="1091">
        <f t="shared" si="3"/>
        <v>1243</v>
      </c>
    </row>
    <row r="30" spans="1:26" ht="16" thickBot="1">
      <c r="A30" s="1130" t="s">
        <v>73</v>
      </c>
      <c r="B30" s="1130" t="s">
        <v>281</v>
      </c>
      <c r="C30" s="1131" t="s">
        <v>156</v>
      </c>
      <c r="D30" s="1132">
        <v>1.44</v>
      </c>
      <c r="E30" s="1130">
        <v>2101</v>
      </c>
      <c r="F30" s="1133">
        <v>758</v>
      </c>
      <c r="G30" s="1132">
        <v>1.34</v>
      </c>
      <c r="H30" s="1130">
        <v>2382</v>
      </c>
      <c r="I30" s="1133">
        <v>796</v>
      </c>
      <c r="J30" s="1090">
        <f t="shared" si="2"/>
        <v>2.7800000000000002</v>
      </c>
      <c r="K30" s="1089">
        <f t="shared" si="2"/>
        <v>4483</v>
      </c>
      <c r="L30" s="1091">
        <f t="shared" si="2"/>
        <v>1554</v>
      </c>
      <c r="M30" s="1089"/>
      <c r="O30" s="1130" t="s">
        <v>74</v>
      </c>
      <c r="P30" s="1130" t="s">
        <v>253</v>
      </c>
      <c r="Q30" s="1131" t="s">
        <v>156</v>
      </c>
      <c r="R30" s="1132">
        <v>1.68</v>
      </c>
      <c r="S30" s="1130">
        <v>1687</v>
      </c>
      <c r="T30" s="1133">
        <v>708</v>
      </c>
      <c r="U30" s="1132">
        <v>1.64</v>
      </c>
      <c r="V30" s="1130">
        <v>1692</v>
      </c>
      <c r="W30" s="1133">
        <v>692</v>
      </c>
      <c r="X30" s="1090">
        <f t="shared" si="3"/>
        <v>3.32</v>
      </c>
      <c r="Y30" s="1089">
        <f t="shared" si="3"/>
        <v>3379</v>
      </c>
      <c r="Z30" s="1091">
        <f t="shared" si="3"/>
        <v>1400</v>
      </c>
    </row>
    <row r="31" spans="1:26">
      <c r="A31" s="1089"/>
      <c r="B31" s="1089"/>
      <c r="C31" s="276" t="s">
        <v>76</v>
      </c>
      <c r="D31" s="863"/>
      <c r="E31" s="863"/>
      <c r="F31" s="863"/>
      <c r="G31" s="863"/>
      <c r="H31" s="863"/>
      <c r="I31" s="863"/>
      <c r="J31" s="1142">
        <f t="shared" ref="J31:L31" si="4">AVERAGE(J24:J30)</f>
        <v>3.8085714285714287</v>
      </c>
      <c r="K31" s="1145">
        <f t="shared" si="4"/>
        <v>3399.5714285714284</v>
      </c>
      <c r="L31" s="1151">
        <f t="shared" si="4"/>
        <v>1552.7142857142858</v>
      </c>
      <c r="M31" s="1089"/>
      <c r="O31" s="1089"/>
      <c r="P31" s="1089"/>
      <c r="Q31" s="276" t="s">
        <v>76</v>
      </c>
      <c r="R31" s="863"/>
      <c r="S31" s="863"/>
      <c r="T31" s="863"/>
      <c r="U31" s="863"/>
      <c r="V31" s="863"/>
      <c r="W31" s="863"/>
      <c r="X31" s="1142">
        <f t="shared" ref="X31:Z31" si="5">AVERAGE(X24:X30)</f>
        <v>4.0285714285714294</v>
      </c>
      <c r="Y31" s="1145">
        <f t="shared" si="5"/>
        <v>3030.2857142857142</v>
      </c>
      <c r="Z31" s="1136">
        <f t="shared" si="5"/>
        <v>1516.1428571428571</v>
      </c>
    </row>
    <row r="32" spans="1:26">
      <c r="A32" s="1089"/>
      <c r="B32" s="1089"/>
      <c r="C32" s="276" t="s">
        <v>13</v>
      </c>
      <c r="D32" s="1134"/>
      <c r="E32" s="1134"/>
      <c r="F32" s="1134"/>
      <c r="G32" s="1134"/>
      <c r="H32" s="1134"/>
      <c r="I32" s="1134"/>
      <c r="J32" s="1143">
        <f t="shared" ref="J32:L32" si="6">STDEVA(J24:J30)</f>
        <v>0.78704994698406494</v>
      </c>
      <c r="K32" s="1146">
        <f t="shared" si="6"/>
        <v>901.7939264123961</v>
      </c>
      <c r="L32" s="1152">
        <f t="shared" si="6"/>
        <v>250.96727162833704</v>
      </c>
      <c r="M32" s="1089"/>
      <c r="O32" s="1089"/>
      <c r="P32" s="1089"/>
      <c r="Q32" s="276" t="s">
        <v>13</v>
      </c>
      <c r="R32" s="1134"/>
      <c r="S32" s="1134"/>
      <c r="T32" s="1134"/>
      <c r="U32" s="1134"/>
      <c r="V32" s="1134"/>
      <c r="W32" s="1134"/>
      <c r="X32" s="1143">
        <f t="shared" ref="X32:Z32" si="7">STDEVA(X24:X30)</f>
        <v>0.83205425647266806</v>
      </c>
      <c r="Y32" s="1146">
        <f t="shared" si="7"/>
        <v>441.49583398778623</v>
      </c>
      <c r="Z32" s="1138">
        <f t="shared" si="7"/>
        <v>331.9525209882824</v>
      </c>
    </row>
    <row r="33" spans="1:26">
      <c r="A33" s="1089"/>
      <c r="B33" s="1089"/>
      <c r="C33" s="276" t="s">
        <v>14</v>
      </c>
      <c r="D33" s="1134"/>
      <c r="E33" s="1134"/>
      <c r="F33" s="1134"/>
      <c r="G33" s="1134"/>
      <c r="H33" s="1134"/>
      <c r="I33" s="1134"/>
      <c r="J33" s="1139">
        <f t="shared" ref="J33:L33" si="8">J32/SQRT(COUNT(J24:J30))</f>
        <v>0.29747691844377233</v>
      </c>
      <c r="K33" s="1140">
        <f t="shared" si="8"/>
        <v>340.8460661593831</v>
      </c>
      <c r="L33" s="1141">
        <f t="shared" si="8"/>
        <v>94.856712563567996</v>
      </c>
      <c r="M33" s="1089"/>
      <c r="O33" s="1089"/>
      <c r="P33" s="1089"/>
      <c r="Q33" s="276" t="s">
        <v>14</v>
      </c>
      <c r="R33" s="1134"/>
      <c r="S33" s="1134"/>
      <c r="T33" s="1134"/>
      <c r="U33" s="1134"/>
      <c r="V33" s="1134"/>
      <c r="W33" s="1134"/>
      <c r="X33" s="1139">
        <f t="shared" ref="X33:Z33" si="9">X32/SQRT(COUNT(X24:X30))</f>
        <v>0.31448694856277637</v>
      </c>
      <c r="Y33" s="1140">
        <f t="shared" si="9"/>
        <v>166.86974022896288</v>
      </c>
      <c r="Z33" s="1141">
        <f t="shared" si="9"/>
        <v>125.46625965942059</v>
      </c>
    </row>
    <row r="34" spans="1:26">
      <c r="A34" s="1089"/>
      <c r="B34" s="1089"/>
      <c r="C34" s="1085"/>
      <c r="D34" s="1089"/>
      <c r="E34" s="1089"/>
      <c r="F34" s="1089"/>
      <c r="G34" s="1089"/>
      <c r="H34" s="1089"/>
      <c r="I34" s="1089"/>
      <c r="J34" s="1089"/>
      <c r="K34" s="1089"/>
      <c r="L34" s="1089"/>
      <c r="M34" s="1089"/>
      <c r="O34" s="1089"/>
      <c r="P34" s="1089"/>
      <c r="Q34" s="1085"/>
      <c r="R34" s="1089"/>
      <c r="S34" s="1089"/>
      <c r="T34" s="1089"/>
      <c r="U34" s="1089"/>
      <c r="V34" s="1089"/>
      <c r="W34" s="1089"/>
      <c r="X34" s="1089"/>
      <c r="Y34" s="1089"/>
      <c r="Z34" s="1089"/>
    </row>
    <row r="35" spans="1:26">
      <c r="M35" s="1089"/>
    </row>
    <row r="36" spans="1:26">
      <c r="D36" s="1529" t="s">
        <v>272</v>
      </c>
      <c r="E36" s="1530"/>
      <c r="F36" s="1531"/>
      <c r="G36" s="1529" t="s">
        <v>273</v>
      </c>
      <c r="H36" s="1530"/>
      <c r="I36" s="1531"/>
      <c r="J36" s="1529" t="s">
        <v>274</v>
      </c>
      <c r="K36" s="1530"/>
      <c r="L36" s="1531"/>
      <c r="M36" s="1084" t="s">
        <v>288</v>
      </c>
      <c r="R36" s="1529" t="s">
        <v>272</v>
      </c>
      <c r="S36" s="1530"/>
      <c r="T36" s="1531"/>
      <c r="U36" s="1529" t="s">
        <v>273</v>
      </c>
      <c r="V36" s="1530"/>
      <c r="W36" s="1531"/>
      <c r="X36" s="1529" t="s">
        <v>274</v>
      </c>
      <c r="Y36" s="1530"/>
      <c r="Z36" s="1531"/>
    </row>
    <row r="37" spans="1:26">
      <c r="A37" s="1085" t="s">
        <v>275</v>
      </c>
      <c r="B37" s="1085" t="s">
        <v>276</v>
      </c>
      <c r="C37" s="1086" t="s">
        <v>277</v>
      </c>
      <c r="D37" s="1087" t="s">
        <v>278</v>
      </c>
      <c r="E37" s="1086" t="s">
        <v>279</v>
      </c>
      <c r="F37" s="1088" t="s">
        <v>280</v>
      </c>
      <c r="G37" s="1087" t="s">
        <v>278</v>
      </c>
      <c r="H37" s="1086" t="s">
        <v>279</v>
      </c>
      <c r="I37" s="1088" t="s">
        <v>280</v>
      </c>
      <c r="J37" s="1087" t="s">
        <v>278</v>
      </c>
      <c r="K37" s="1086" t="s">
        <v>279</v>
      </c>
      <c r="L37" s="1088" t="s">
        <v>280</v>
      </c>
      <c r="M37" s="1087" t="s">
        <v>278</v>
      </c>
      <c r="O37" s="1085" t="s">
        <v>275</v>
      </c>
      <c r="P37" s="1085" t="s">
        <v>276</v>
      </c>
      <c r="Q37" s="1086" t="s">
        <v>277</v>
      </c>
      <c r="R37" s="1087" t="s">
        <v>278</v>
      </c>
      <c r="S37" s="1086" t="s">
        <v>279</v>
      </c>
      <c r="T37" s="1088" t="s">
        <v>280</v>
      </c>
      <c r="U37" s="1087" t="s">
        <v>278</v>
      </c>
      <c r="V37" s="1086" t="s">
        <v>279</v>
      </c>
      <c r="W37" s="1088" t="s">
        <v>280</v>
      </c>
      <c r="X37" s="1087" t="s">
        <v>278</v>
      </c>
      <c r="Y37" s="1086" t="s">
        <v>279</v>
      </c>
      <c r="Z37" s="1088" t="s">
        <v>280</v>
      </c>
    </row>
    <row r="38" spans="1:26">
      <c r="A38" s="1089" t="s">
        <v>59</v>
      </c>
      <c r="B38" s="1089" t="s">
        <v>281</v>
      </c>
      <c r="C38" s="1085" t="s">
        <v>157</v>
      </c>
      <c r="D38" s="1090">
        <v>1.97</v>
      </c>
      <c r="E38" s="1089">
        <v>2025</v>
      </c>
      <c r="F38" s="1091">
        <v>997</v>
      </c>
      <c r="G38" s="1090">
        <v>2.15</v>
      </c>
      <c r="H38" s="1092">
        <v>2016</v>
      </c>
      <c r="I38" s="1093">
        <v>1083</v>
      </c>
      <c r="J38" s="1090">
        <f t="shared" ref="J38:L44" si="10">SUM(D38+G38)</f>
        <v>4.12</v>
      </c>
      <c r="K38" s="1089">
        <f t="shared" si="10"/>
        <v>4041</v>
      </c>
      <c r="L38" s="1091">
        <f t="shared" si="10"/>
        <v>2080</v>
      </c>
      <c r="M38" s="1153">
        <f>(J38-J24)/J24*100</f>
        <v>8.99470899470899</v>
      </c>
      <c r="O38" s="1089" t="s">
        <v>58</v>
      </c>
      <c r="P38" s="1089" t="s">
        <v>253</v>
      </c>
      <c r="Q38" s="1085" t="s">
        <v>157</v>
      </c>
      <c r="R38" s="1090">
        <v>2.2200000000000002</v>
      </c>
      <c r="S38" s="1089">
        <v>1674</v>
      </c>
      <c r="T38" s="1091">
        <v>927</v>
      </c>
      <c r="U38" s="1090">
        <v>2.2799999999999998</v>
      </c>
      <c r="V38" s="1092">
        <v>1663</v>
      </c>
      <c r="W38" s="1093">
        <v>946</v>
      </c>
      <c r="X38" s="1090">
        <f t="shared" ref="X38:Z44" si="11">SUM(R38+U38)</f>
        <v>4.5</v>
      </c>
      <c r="Y38" s="1089">
        <f t="shared" si="11"/>
        <v>3337</v>
      </c>
      <c r="Z38" s="1091">
        <f t="shared" si="11"/>
        <v>1873</v>
      </c>
    </row>
    <row r="39" spans="1:26">
      <c r="A39" s="1089" t="s">
        <v>62</v>
      </c>
      <c r="B39" s="1089" t="s">
        <v>281</v>
      </c>
      <c r="C39" s="1085" t="s">
        <v>157</v>
      </c>
      <c r="D39" s="1090">
        <v>1.93</v>
      </c>
      <c r="E39" s="1089">
        <v>1319</v>
      </c>
      <c r="F39" s="1091">
        <v>637</v>
      </c>
      <c r="G39" s="1090">
        <v>2.0499999999999998</v>
      </c>
      <c r="H39" s="1092">
        <v>1247</v>
      </c>
      <c r="I39" s="1093">
        <v>640</v>
      </c>
      <c r="J39" s="1090">
        <f t="shared" si="10"/>
        <v>3.9799999999999995</v>
      </c>
      <c r="K39" s="1089">
        <f t="shared" si="10"/>
        <v>2566</v>
      </c>
      <c r="L39" s="1091">
        <f t="shared" si="10"/>
        <v>1277</v>
      </c>
      <c r="M39" s="1153">
        <f t="shared" ref="M39:M44" si="12">(J39-J25)/J25*100</f>
        <v>7.2776280323450013</v>
      </c>
      <c r="O39" s="1089" t="s">
        <v>63</v>
      </c>
      <c r="P39" s="1089" t="s">
        <v>253</v>
      </c>
      <c r="Q39" s="1085" t="s">
        <v>157</v>
      </c>
      <c r="R39" s="1090">
        <v>1.97</v>
      </c>
      <c r="S39" s="1089">
        <v>2027</v>
      </c>
      <c r="T39" s="1091">
        <v>999</v>
      </c>
      <c r="U39" s="1090">
        <v>2.15</v>
      </c>
      <c r="V39" s="1092">
        <v>1918</v>
      </c>
      <c r="W39" s="1093">
        <v>1029</v>
      </c>
      <c r="X39" s="1090">
        <f t="shared" si="11"/>
        <v>4.12</v>
      </c>
      <c r="Y39" s="1089">
        <f t="shared" si="11"/>
        <v>3945</v>
      </c>
      <c r="Z39" s="1091">
        <f t="shared" si="11"/>
        <v>2028</v>
      </c>
    </row>
    <row r="40" spans="1:26">
      <c r="A40" s="1089" t="s">
        <v>64</v>
      </c>
      <c r="B40" s="1089" t="s">
        <v>281</v>
      </c>
      <c r="C40" s="1085" t="s">
        <v>157</v>
      </c>
      <c r="D40" s="1090">
        <v>1.87</v>
      </c>
      <c r="E40" s="1089">
        <v>1893</v>
      </c>
      <c r="F40" s="1091">
        <v>884</v>
      </c>
      <c r="G40" s="1090">
        <v>1.87</v>
      </c>
      <c r="H40" s="1092">
        <v>1902</v>
      </c>
      <c r="I40" s="1093">
        <v>891</v>
      </c>
      <c r="J40" s="1090">
        <f t="shared" si="10"/>
        <v>3.74</v>
      </c>
      <c r="K40" s="1089">
        <f t="shared" si="10"/>
        <v>3795</v>
      </c>
      <c r="L40" s="1091">
        <f t="shared" si="10"/>
        <v>1775</v>
      </c>
      <c r="M40" s="1153">
        <f t="shared" si="12"/>
        <v>-7.1960297766749184</v>
      </c>
      <c r="O40" s="1089" t="s">
        <v>65</v>
      </c>
      <c r="P40" s="1089" t="s">
        <v>253</v>
      </c>
      <c r="Q40" s="1085" t="s">
        <v>157</v>
      </c>
      <c r="R40" s="1090">
        <v>2.3199999999999998</v>
      </c>
      <c r="S40" s="1089">
        <v>1367</v>
      </c>
      <c r="T40" s="1091">
        <v>793</v>
      </c>
      <c r="U40" s="1090">
        <v>2.33</v>
      </c>
      <c r="V40" s="1092">
        <v>1438</v>
      </c>
      <c r="W40" s="1093">
        <v>839</v>
      </c>
      <c r="X40" s="1090">
        <f t="shared" si="11"/>
        <v>4.6500000000000004</v>
      </c>
      <c r="Y40" s="1089">
        <f t="shared" si="11"/>
        <v>2805</v>
      </c>
      <c r="Z40" s="1091">
        <f t="shared" si="11"/>
        <v>1632</v>
      </c>
    </row>
    <row r="41" spans="1:26">
      <c r="A41" s="1089" t="s">
        <v>67</v>
      </c>
      <c r="B41" s="1089" t="s">
        <v>281</v>
      </c>
      <c r="C41" s="1085" t="s">
        <v>157</v>
      </c>
      <c r="D41" s="1090">
        <v>2.39</v>
      </c>
      <c r="E41" s="1089">
        <v>962</v>
      </c>
      <c r="F41" s="1091">
        <v>576</v>
      </c>
      <c r="G41" s="1121">
        <v>2.5299999999999998</v>
      </c>
      <c r="H41" s="1092">
        <v>961</v>
      </c>
      <c r="I41" s="1093">
        <v>608</v>
      </c>
      <c r="J41" s="1090">
        <f t="shared" si="10"/>
        <v>4.92</v>
      </c>
      <c r="K41" s="1089">
        <f t="shared" si="10"/>
        <v>1923</v>
      </c>
      <c r="L41" s="1091">
        <f t="shared" si="10"/>
        <v>1184</v>
      </c>
      <c r="M41" s="1153">
        <f t="shared" si="12"/>
        <v>4.4585987261146487</v>
      </c>
      <c r="O41" s="1089" t="s">
        <v>66</v>
      </c>
      <c r="P41" s="1089" t="s">
        <v>253</v>
      </c>
      <c r="Q41" s="1085" t="s">
        <v>157</v>
      </c>
      <c r="R41" s="1090">
        <v>2.5099999999999998</v>
      </c>
      <c r="S41" s="1089">
        <v>1431</v>
      </c>
      <c r="T41" s="1091">
        <v>897</v>
      </c>
      <c r="U41" s="1121">
        <v>2.65</v>
      </c>
      <c r="V41" s="1092">
        <v>1443</v>
      </c>
      <c r="W41" s="1093">
        <v>957</v>
      </c>
      <c r="X41" s="1090">
        <f t="shared" si="11"/>
        <v>5.16</v>
      </c>
      <c r="Y41" s="1089">
        <f t="shared" si="11"/>
        <v>2874</v>
      </c>
      <c r="Z41" s="1091">
        <f t="shared" si="11"/>
        <v>1854</v>
      </c>
    </row>
    <row r="42" spans="1:26">
      <c r="A42" s="1089" t="s">
        <v>68</v>
      </c>
      <c r="B42" s="1089" t="s">
        <v>281</v>
      </c>
      <c r="C42" s="1085" t="s">
        <v>157</v>
      </c>
      <c r="D42" s="1090">
        <v>2.4300000000000002</v>
      </c>
      <c r="E42" s="1089">
        <v>1410</v>
      </c>
      <c r="F42" s="1091">
        <v>858</v>
      </c>
      <c r="G42" s="1121">
        <v>2.5</v>
      </c>
      <c r="H42" s="1092">
        <v>1449</v>
      </c>
      <c r="I42" s="1093">
        <v>906</v>
      </c>
      <c r="J42" s="1090">
        <f t="shared" si="10"/>
        <v>4.93</v>
      </c>
      <c r="K42" s="1089">
        <f t="shared" si="10"/>
        <v>2859</v>
      </c>
      <c r="L42" s="1091">
        <f t="shared" si="10"/>
        <v>1764</v>
      </c>
      <c r="M42" s="1153">
        <f t="shared" si="12"/>
        <v>3.3542976939203384</v>
      </c>
      <c r="O42" s="1089" t="s">
        <v>69</v>
      </c>
      <c r="P42" s="1089" t="s">
        <v>253</v>
      </c>
      <c r="Q42" s="1085" t="s">
        <v>157</v>
      </c>
      <c r="R42" s="1090">
        <v>1.21</v>
      </c>
      <c r="S42" s="1089">
        <v>1148</v>
      </c>
      <c r="T42" s="1091">
        <v>349</v>
      </c>
      <c r="U42" s="1121">
        <v>1.19</v>
      </c>
      <c r="V42" s="1092">
        <v>1226</v>
      </c>
      <c r="W42" s="1093">
        <v>364</v>
      </c>
      <c r="X42" s="1090">
        <f t="shared" si="11"/>
        <v>2.4</v>
      </c>
      <c r="Y42" s="1089">
        <f t="shared" si="11"/>
        <v>2374</v>
      </c>
      <c r="Z42" s="1091">
        <f t="shared" si="11"/>
        <v>713</v>
      </c>
    </row>
    <row r="43" spans="1:26">
      <c r="A43" s="1124" t="s">
        <v>71</v>
      </c>
      <c r="B43" s="1124" t="s">
        <v>281</v>
      </c>
      <c r="C43" s="1085" t="s">
        <v>157</v>
      </c>
      <c r="D43" s="1125">
        <v>2.17</v>
      </c>
      <c r="E43" s="1124">
        <v>1559</v>
      </c>
      <c r="F43" s="1126">
        <v>846</v>
      </c>
      <c r="G43" s="1127">
        <v>2.11</v>
      </c>
      <c r="H43" s="1128">
        <v>1577</v>
      </c>
      <c r="I43" s="1129">
        <v>832</v>
      </c>
      <c r="J43" s="1090">
        <f t="shared" si="10"/>
        <v>4.2799999999999994</v>
      </c>
      <c r="K43" s="1089">
        <f t="shared" si="10"/>
        <v>3136</v>
      </c>
      <c r="L43" s="1091">
        <f t="shared" si="10"/>
        <v>1678</v>
      </c>
      <c r="M43" s="1153">
        <f t="shared" si="12"/>
        <v>48.611111111111093</v>
      </c>
      <c r="O43" s="1089" t="s">
        <v>70</v>
      </c>
      <c r="P43" s="1089" t="s">
        <v>253</v>
      </c>
      <c r="Q43" s="1085" t="s">
        <v>157</v>
      </c>
      <c r="R43" s="1090">
        <v>1.97</v>
      </c>
      <c r="S43" s="1089">
        <v>1238</v>
      </c>
      <c r="T43" s="1091">
        <v>609</v>
      </c>
      <c r="U43" s="1121">
        <v>2.0099999999999998</v>
      </c>
      <c r="V43" s="1092">
        <v>1292</v>
      </c>
      <c r="W43" s="1093">
        <v>648</v>
      </c>
      <c r="X43" s="1090">
        <f t="shared" si="11"/>
        <v>3.9799999999999995</v>
      </c>
      <c r="Y43" s="1089">
        <f t="shared" si="11"/>
        <v>2530</v>
      </c>
      <c r="Z43" s="1091">
        <f t="shared" si="11"/>
        <v>1257</v>
      </c>
    </row>
    <row r="44" spans="1:26" ht="16" thickBot="1">
      <c r="A44" s="1130" t="s">
        <v>73</v>
      </c>
      <c r="B44" s="1130" t="s">
        <v>281</v>
      </c>
      <c r="C44" s="1131" t="s">
        <v>157</v>
      </c>
      <c r="D44" s="1132">
        <v>1.77</v>
      </c>
      <c r="E44" s="1130">
        <v>1643</v>
      </c>
      <c r="F44" s="1133">
        <v>728</v>
      </c>
      <c r="G44" s="1132">
        <v>1.87</v>
      </c>
      <c r="H44" s="1130">
        <v>1699</v>
      </c>
      <c r="I44" s="1133">
        <v>794</v>
      </c>
      <c r="J44" s="1090">
        <f t="shared" si="10"/>
        <v>3.64</v>
      </c>
      <c r="K44" s="1089">
        <f t="shared" si="10"/>
        <v>3342</v>
      </c>
      <c r="L44" s="1091">
        <f t="shared" si="10"/>
        <v>1522</v>
      </c>
      <c r="M44" s="1154">
        <f t="shared" si="12"/>
        <v>30.935251798561143</v>
      </c>
      <c r="O44" s="1130" t="s">
        <v>74</v>
      </c>
      <c r="P44" s="1130" t="s">
        <v>253</v>
      </c>
      <c r="Q44" s="1131" t="s">
        <v>157</v>
      </c>
      <c r="R44" s="1132">
        <v>1.77</v>
      </c>
      <c r="S44" s="1130">
        <v>1503</v>
      </c>
      <c r="T44" s="1133">
        <v>665</v>
      </c>
      <c r="U44" s="1132">
        <v>1.8</v>
      </c>
      <c r="V44" s="1130">
        <v>1429</v>
      </c>
      <c r="W44" s="1133">
        <v>643</v>
      </c>
      <c r="X44" s="1132">
        <f t="shared" si="11"/>
        <v>3.5700000000000003</v>
      </c>
      <c r="Y44" s="1130">
        <f t="shared" si="11"/>
        <v>2932</v>
      </c>
      <c r="Z44" s="1133">
        <f t="shared" si="11"/>
        <v>1308</v>
      </c>
    </row>
    <row r="45" spans="1:26">
      <c r="C45" s="276" t="s">
        <v>76</v>
      </c>
      <c r="D45" s="863"/>
      <c r="E45" s="863"/>
      <c r="F45" s="863"/>
      <c r="G45" s="863"/>
      <c r="H45" s="863"/>
      <c r="I45" s="863"/>
      <c r="J45" s="1142">
        <f t="shared" ref="J45:M45" si="13">AVERAGE(J38:J44)</f>
        <v>4.2299999999999995</v>
      </c>
      <c r="K45" s="1145">
        <f t="shared" si="13"/>
        <v>3094.5714285714284</v>
      </c>
      <c r="L45" s="1151">
        <f t="shared" si="13"/>
        <v>1611.4285714285713</v>
      </c>
      <c r="M45" s="1151">
        <f t="shared" si="13"/>
        <v>13.776509511440898</v>
      </c>
      <c r="Q45" s="276" t="s">
        <v>76</v>
      </c>
      <c r="X45" s="1142">
        <f t="shared" ref="X45" si="14">AVERAGE(X38:X44)</f>
        <v>4.0542857142857143</v>
      </c>
      <c r="Y45" s="1142">
        <f t="shared" ref="Y45" si="15">AVERAGE(Y38:Y44)</f>
        <v>2971</v>
      </c>
      <c r="Z45" s="1135">
        <f t="shared" ref="Z45" si="16">AVERAGE(Z38:Z44)</f>
        <v>1523.5714285714287</v>
      </c>
    </row>
    <row r="46" spans="1:26">
      <c r="C46" s="276" t="s">
        <v>13</v>
      </c>
      <c r="D46" s="1134"/>
      <c r="E46" s="1134"/>
      <c r="F46" s="1134"/>
      <c r="G46" s="1134"/>
      <c r="H46" s="1134"/>
      <c r="I46" s="1134"/>
      <c r="J46" s="1143">
        <f t="shared" ref="J46:L46" si="17">STDEVA(J38:J44)</f>
        <v>0.52144031297934523</v>
      </c>
      <c r="K46" s="1146">
        <f t="shared" si="17"/>
        <v>725.34195548096682</v>
      </c>
      <c r="L46" s="1152">
        <f t="shared" si="17"/>
        <v>309.98917031774749</v>
      </c>
      <c r="M46" s="1152">
        <f t="shared" ref="M46" si="18">STDEVA(M38:M44)</f>
        <v>19.18448308272788</v>
      </c>
      <c r="Q46" s="276" t="s">
        <v>13</v>
      </c>
      <c r="X46" s="1143">
        <f t="shared" ref="X46:Z46" si="19">STDEVA(X38:X44)</f>
        <v>0.89042793350271132</v>
      </c>
      <c r="Y46" s="1143">
        <f t="shared" si="19"/>
        <v>527.89014008598417</v>
      </c>
      <c r="Z46" s="1137">
        <f t="shared" si="19"/>
        <v>460.44285101152246</v>
      </c>
    </row>
    <row r="47" spans="1:26">
      <c r="C47" s="276" t="s">
        <v>14</v>
      </c>
      <c r="D47" s="1134"/>
      <c r="E47" s="1134"/>
      <c r="F47" s="1134"/>
      <c r="G47" s="1134"/>
      <c r="H47" s="1134"/>
      <c r="I47" s="1134"/>
      <c r="J47" s="1139">
        <f t="shared" ref="J47:M47" si="20">J46/SQRT(COUNT(J38:J44))</f>
        <v>0.19708591310100471</v>
      </c>
      <c r="K47" s="1140">
        <f t="shared" si="20"/>
        <v>274.15348995484595</v>
      </c>
      <c r="L47" s="1141">
        <f t="shared" si="20"/>
        <v>117.16489339771501</v>
      </c>
      <c r="M47" s="1141">
        <f t="shared" si="20"/>
        <v>7.2510530383176777</v>
      </c>
      <c r="Q47" s="276" t="s">
        <v>14</v>
      </c>
      <c r="X47" s="1139">
        <f t="shared" ref="X47" si="21">X46/SQRT(COUNT(X38:X44))</f>
        <v>0.33655012463904749</v>
      </c>
      <c r="Y47" s="1139">
        <f t="shared" ref="Y47" si="22">Y46/SQRT(COUNT(Y38:Y44))</f>
        <v>199.52371860436614</v>
      </c>
      <c r="Z47" s="1139">
        <f t="shared" ref="Z47" si="23">Z46/SQRT(COUNT(Z38:Z44))</f>
        <v>174.0310395334362</v>
      </c>
    </row>
    <row r="48" spans="1:26">
      <c r="J48" s="1134"/>
      <c r="K48" s="1134"/>
      <c r="L48" s="1134"/>
      <c r="X48" s="1134"/>
      <c r="Y48" s="1134"/>
      <c r="Z48" s="1134"/>
    </row>
    <row r="49" spans="10:26">
      <c r="J49" s="1529" t="s">
        <v>170</v>
      </c>
      <c r="K49" s="1530"/>
      <c r="L49" s="1531"/>
      <c r="X49" s="1529" t="s">
        <v>170</v>
      </c>
      <c r="Y49" s="1530"/>
      <c r="Z49" s="1531"/>
    </row>
    <row r="50" spans="10:26">
      <c r="J50" s="1155" t="s">
        <v>278</v>
      </c>
      <c r="K50" s="1156" t="s">
        <v>279</v>
      </c>
      <c r="L50" s="1157" t="s">
        <v>280</v>
      </c>
      <c r="X50" s="1155" t="s">
        <v>278</v>
      </c>
      <c r="Y50" s="1156" t="s">
        <v>279</v>
      </c>
      <c r="Z50" s="1157" t="s">
        <v>280</v>
      </c>
    </row>
    <row r="51" spans="10:26">
      <c r="J51" s="1090">
        <f>J38-J24</f>
        <v>0.33999999999999986</v>
      </c>
      <c r="K51" s="1090">
        <f>K38-K24</f>
        <v>82</v>
      </c>
      <c r="L51" s="1090">
        <f>L38-L24</f>
        <v>206</v>
      </c>
      <c r="X51" s="1090">
        <f>X38-X24</f>
        <v>0.23000000000000043</v>
      </c>
      <c r="Y51" s="1090">
        <f t="shared" ref="Y51:Z51" si="24">Y38-Y24</f>
        <v>208</v>
      </c>
      <c r="Z51" s="1090">
        <f t="shared" si="24"/>
        <v>202</v>
      </c>
    </row>
    <row r="52" spans="10:26">
      <c r="J52" s="1090">
        <f t="shared" ref="J52:L57" si="25">J39-J25</f>
        <v>0.26999999999999957</v>
      </c>
      <c r="K52" s="1090">
        <f t="shared" si="25"/>
        <v>-254</v>
      </c>
      <c r="L52" s="1090">
        <f t="shared" si="25"/>
        <v>-30</v>
      </c>
      <c r="X52" s="1090">
        <f t="shared" ref="X52:Z57" si="26">X39-X25</f>
        <v>3.0000000000000249E-2</v>
      </c>
      <c r="Y52" s="1090">
        <f t="shared" si="26"/>
        <v>165</v>
      </c>
      <c r="Z52" s="1090">
        <f t="shared" si="26"/>
        <v>94</v>
      </c>
    </row>
    <row r="53" spans="10:26">
      <c r="J53" s="1090">
        <f t="shared" si="25"/>
        <v>-0.28999999999999915</v>
      </c>
      <c r="K53" s="1090">
        <f t="shared" si="25"/>
        <v>276</v>
      </c>
      <c r="L53" s="1090">
        <f t="shared" si="25"/>
        <v>3</v>
      </c>
      <c r="X53" s="1090">
        <f t="shared" si="26"/>
        <v>9.9999999999997868E-3</v>
      </c>
      <c r="Y53" s="1090">
        <f t="shared" si="26"/>
        <v>128</v>
      </c>
      <c r="Z53" s="1090">
        <f t="shared" si="26"/>
        <v>84</v>
      </c>
    </row>
    <row r="54" spans="10:26">
      <c r="J54" s="1090">
        <f t="shared" si="25"/>
        <v>0.20999999999999996</v>
      </c>
      <c r="K54" s="1090">
        <f t="shared" si="25"/>
        <v>-59</v>
      </c>
      <c r="L54" s="1090">
        <f t="shared" si="25"/>
        <v>19</v>
      </c>
      <c r="X54" s="1090">
        <f t="shared" si="26"/>
        <v>-4.9999999999999822E-2</v>
      </c>
      <c r="Y54" s="1090">
        <f t="shared" si="26"/>
        <v>68</v>
      </c>
      <c r="Z54" s="1090">
        <f t="shared" si="26"/>
        <v>27</v>
      </c>
    </row>
    <row r="55" spans="10:26">
      <c r="J55" s="1090">
        <f t="shared" si="25"/>
        <v>0.16000000000000014</v>
      </c>
      <c r="K55" s="1090">
        <f t="shared" si="25"/>
        <v>51</v>
      </c>
      <c r="L55" s="1090">
        <f t="shared" si="25"/>
        <v>89</v>
      </c>
      <c r="X55" s="1090">
        <f t="shared" si="26"/>
        <v>-0.2799999999999998</v>
      </c>
      <c r="Y55" s="1090">
        <f t="shared" si="26"/>
        <v>-580</v>
      </c>
      <c r="Z55" s="1090">
        <f t="shared" si="26"/>
        <v>-277</v>
      </c>
    </row>
    <row r="56" spans="10:26">
      <c r="J56" s="1090">
        <f t="shared" si="25"/>
        <v>1.3999999999999995</v>
      </c>
      <c r="K56" s="1090">
        <f t="shared" si="25"/>
        <v>-1090</v>
      </c>
      <c r="L56" s="1090">
        <f t="shared" si="25"/>
        <v>156</v>
      </c>
      <c r="X56" s="1090">
        <f t="shared" si="26"/>
        <v>-1.0000000000000675E-2</v>
      </c>
      <c r="Y56" s="1090">
        <f t="shared" si="26"/>
        <v>43</v>
      </c>
      <c r="Z56" s="1090">
        <f t="shared" si="26"/>
        <v>14</v>
      </c>
    </row>
    <row r="57" spans="10:26">
      <c r="J57" s="1090">
        <f t="shared" si="25"/>
        <v>0.85999999999999988</v>
      </c>
      <c r="K57" s="1090">
        <f t="shared" si="25"/>
        <v>-1141</v>
      </c>
      <c r="L57" s="1090">
        <f t="shared" si="25"/>
        <v>-32</v>
      </c>
      <c r="X57" s="1090">
        <f t="shared" si="26"/>
        <v>0.25000000000000044</v>
      </c>
      <c r="Y57" s="1090">
        <f t="shared" si="26"/>
        <v>-447</v>
      </c>
      <c r="Z57" s="1090">
        <f t="shared" si="26"/>
        <v>-92</v>
      </c>
    </row>
    <row r="58" spans="10:26">
      <c r="J58" s="1142">
        <f t="shared" ref="J58" si="27">AVERAGE(J51:J57)</f>
        <v>0.42142857142857137</v>
      </c>
      <c r="K58" s="1145">
        <f t="shared" ref="K58" si="28">AVERAGE(K51:K57)</f>
        <v>-305</v>
      </c>
      <c r="L58" s="1151">
        <f t="shared" ref="L58" si="29">AVERAGE(L51:L57)</f>
        <v>58.714285714285715</v>
      </c>
      <c r="X58" s="1142">
        <f t="shared" ref="X58" si="30">AVERAGE(X51:X57)</f>
        <v>2.5714285714285801E-2</v>
      </c>
      <c r="Y58" s="1145">
        <f t="shared" ref="Y58" si="31">AVERAGE(Y51:Y57)</f>
        <v>-59.285714285714285</v>
      </c>
      <c r="Z58" s="1136">
        <f t="shared" ref="Z58" si="32">AVERAGE(Z51:Z57)</f>
        <v>7.4285714285714288</v>
      </c>
    </row>
    <row r="59" spans="10:26">
      <c r="J59" s="1143">
        <f t="shared" ref="J59:L59" si="33">STDEVA(J51:J57)</f>
        <v>0.54752255878726308</v>
      </c>
      <c r="K59" s="1146">
        <f t="shared" si="33"/>
        <v>576.23837660005483</v>
      </c>
      <c r="L59" s="1152">
        <f t="shared" si="33"/>
        <v>93.857541493681239</v>
      </c>
      <c r="X59" s="1143">
        <f t="shared" ref="X59:Z59" si="34">STDEVA(X51:X57)</f>
        <v>0.17924444601875808</v>
      </c>
      <c r="Y59" s="1146">
        <f t="shared" si="34"/>
        <v>317.52990110419222</v>
      </c>
      <c r="Z59" s="1138">
        <f t="shared" si="34"/>
        <v>154.07125747832521</v>
      </c>
    </row>
    <row r="60" spans="10:26">
      <c r="J60" s="1139">
        <f t="shared" ref="J60" si="35">J59/SQRT(COUNT(J51:J57))</f>
        <v>0.20694407539269152</v>
      </c>
      <c r="K60" s="1140">
        <f t="shared" ref="K60" si="36">K59/SQRT(COUNT(K51:K57))</f>
        <v>217.79763433933232</v>
      </c>
      <c r="L60" s="1141">
        <f t="shared" ref="L60" si="37">L59/SQRT(COUNT(L51:L57))</f>
        <v>35.474816208600906</v>
      </c>
      <c r="X60" s="1139">
        <f t="shared" ref="X60" si="38">X59/SQRT(COUNT(X51:X57))</f>
        <v>6.7748032579310766E-2</v>
      </c>
      <c r="Y60" s="1140">
        <f t="shared" ref="Y60" si="39">Y59/SQRT(COUNT(Y51:Y57))</f>
        <v>120.01502173551805</v>
      </c>
      <c r="Z60" s="1141">
        <f t="shared" ref="Z60" si="40">Z59/SQRT(COUNT(Z51:Z57))</f>
        <v>58.233461638664146</v>
      </c>
    </row>
  </sheetData>
  <mergeCells count="20">
    <mergeCell ref="X22:Z22"/>
    <mergeCell ref="D1:F1"/>
    <mergeCell ref="G1:I1"/>
    <mergeCell ref="J1:L1"/>
    <mergeCell ref="R1:T1"/>
    <mergeCell ref="U1:W1"/>
    <mergeCell ref="X1:Z1"/>
    <mergeCell ref="D22:F22"/>
    <mergeCell ref="G22:I22"/>
    <mergeCell ref="J22:L22"/>
    <mergeCell ref="R22:T22"/>
    <mergeCell ref="U22:W22"/>
    <mergeCell ref="J49:L49"/>
    <mergeCell ref="X49:Z49"/>
    <mergeCell ref="D36:F36"/>
    <mergeCell ref="G36:I36"/>
    <mergeCell ref="J36:L36"/>
    <mergeCell ref="R36:T36"/>
    <mergeCell ref="U36:W36"/>
    <mergeCell ref="X36:Z3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0"/>
  <sheetViews>
    <sheetView topLeftCell="E1" zoomScaleNormal="100" workbookViewId="0">
      <selection activeCell="V20" sqref="V20"/>
    </sheetView>
  </sheetViews>
  <sheetFormatPr baseColWidth="10" defaultColWidth="10.83203125" defaultRowHeight="15.5"/>
  <cols>
    <col min="1" max="1" width="36.6640625" style="1028" bestFit="1" customWidth="1"/>
    <col min="2" max="2" width="10.83203125" style="1028"/>
    <col min="3" max="3" width="10.5" style="1028" customWidth="1"/>
    <col min="4" max="13" width="10.83203125" style="1028"/>
    <col min="14" max="14" width="37.5" style="1028" bestFit="1" customWidth="1"/>
    <col min="15" max="15" width="7.1640625" style="1028" bestFit="1" customWidth="1"/>
    <col min="16" max="16" width="2.5" style="1028" bestFit="1" customWidth="1"/>
    <col min="17" max="17" width="6.1640625" style="1028" bestFit="1" customWidth="1"/>
    <col min="18" max="18" width="3.83203125" style="1028" customWidth="1"/>
    <col min="19" max="19" width="6.5" style="1028" bestFit="1" customWidth="1"/>
    <col min="20" max="20" width="2.5" style="1028" bestFit="1" customWidth="1"/>
    <col min="21" max="21" width="5.6640625" style="1028" bestFit="1" customWidth="1"/>
    <col min="22" max="16384" width="10.83203125" style="1028"/>
  </cols>
  <sheetData>
    <row r="2" spans="1:22">
      <c r="A2" s="1071"/>
      <c r="B2" s="1069" t="s">
        <v>264</v>
      </c>
      <c r="C2" s="1069" t="s">
        <v>263</v>
      </c>
      <c r="D2" s="1069" t="s">
        <v>262</v>
      </c>
      <c r="E2" s="1069" t="s">
        <v>262</v>
      </c>
      <c r="F2" s="1069" t="s">
        <v>261</v>
      </c>
      <c r="G2" s="1070" t="s">
        <v>260</v>
      </c>
      <c r="H2" s="1069" t="s">
        <v>259</v>
      </c>
      <c r="I2" s="1069" t="s">
        <v>258</v>
      </c>
      <c r="M2" s="1048"/>
      <c r="N2" s="1048"/>
      <c r="O2" s="1048"/>
      <c r="P2" s="1048"/>
      <c r="Q2" s="1048"/>
      <c r="R2" s="1048"/>
      <c r="S2" s="1048"/>
      <c r="T2" s="1048"/>
      <c r="U2" s="1048"/>
      <c r="V2" s="1048"/>
    </row>
    <row r="3" spans="1:22" ht="25">
      <c r="A3" s="1068"/>
      <c r="B3" s="1067" t="s">
        <v>257</v>
      </c>
      <c r="C3" s="1067" t="s">
        <v>2</v>
      </c>
      <c r="D3" s="1067" t="s">
        <v>256</v>
      </c>
      <c r="E3" s="1067" t="s">
        <v>255</v>
      </c>
      <c r="F3" s="1067" t="s">
        <v>20</v>
      </c>
      <c r="G3" s="1067" t="s">
        <v>20</v>
      </c>
      <c r="H3" s="1067"/>
      <c r="I3" s="1067" t="s">
        <v>254</v>
      </c>
      <c r="J3" s="1029"/>
      <c r="M3" s="1048"/>
      <c r="N3" s="1072"/>
      <c r="O3" s="1537"/>
      <c r="P3" s="1537"/>
      <c r="Q3" s="1537"/>
      <c r="R3" s="1072"/>
      <c r="S3" s="1537"/>
      <c r="T3" s="1537"/>
      <c r="U3" s="1537"/>
      <c r="V3" s="1073"/>
    </row>
    <row r="4" spans="1:22">
      <c r="A4" s="1061" t="s">
        <v>58</v>
      </c>
      <c r="B4" s="1057"/>
      <c r="C4" s="1058">
        <v>74</v>
      </c>
      <c r="D4" s="1058">
        <v>5439.083333333333</v>
      </c>
      <c r="E4" s="1059">
        <v>73.5</v>
      </c>
      <c r="F4" s="1059">
        <v>471.7</v>
      </c>
      <c r="G4" s="1058">
        <v>303.85375494071144</v>
      </c>
      <c r="H4" s="1057"/>
      <c r="I4" s="1056"/>
      <c r="J4" s="1056" t="s">
        <v>253</v>
      </c>
      <c r="N4" s="1074"/>
      <c r="O4" s="1536" t="s">
        <v>289</v>
      </c>
      <c r="P4" s="1536"/>
      <c r="Q4" s="1536"/>
      <c r="R4" s="1074"/>
      <c r="S4" s="1536" t="s">
        <v>290</v>
      </c>
      <c r="T4" s="1536"/>
      <c r="U4" s="1536"/>
      <c r="V4" s="1052"/>
    </row>
    <row r="5" spans="1:22">
      <c r="A5" s="1061" t="s">
        <v>63</v>
      </c>
      <c r="B5" s="1057"/>
      <c r="C5" s="1058">
        <v>74</v>
      </c>
      <c r="D5" s="1063">
        <v>4992.583333333333</v>
      </c>
      <c r="E5" s="1062">
        <v>67.5</v>
      </c>
      <c r="F5" s="1062">
        <v>429.2</v>
      </c>
      <c r="G5" s="1058">
        <v>311.36363636363632</v>
      </c>
      <c r="H5" s="1057"/>
      <c r="I5" s="1056"/>
      <c r="J5" s="1056" t="s">
        <v>252</v>
      </c>
      <c r="N5" s="1065" t="s">
        <v>251</v>
      </c>
      <c r="O5" s="1064">
        <v>22.9</v>
      </c>
      <c r="P5" s="1066" t="s">
        <v>235</v>
      </c>
      <c r="Q5" s="1064">
        <v>3</v>
      </c>
      <c r="R5" s="1066"/>
      <c r="S5" s="1066">
        <v>21.1</v>
      </c>
      <c r="T5" s="1066" t="s">
        <v>235</v>
      </c>
      <c r="U5" s="1066">
        <v>3.9</v>
      </c>
      <c r="V5" s="1052"/>
    </row>
    <row r="6" spans="1:22">
      <c r="A6" s="1061" t="s">
        <v>65</v>
      </c>
      <c r="B6" s="1057"/>
      <c r="C6" s="1058">
        <v>83.9</v>
      </c>
      <c r="D6" s="1063">
        <v>5998.75</v>
      </c>
      <c r="E6" s="1062">
        <v>71.5</v>
      </c>
      <c r="F6" s="1062">
        <v>500</v>
      </c>
      <c r="G6" s="1058">
        <v>425</v>
      </c>
      <c r="H6" s="1057"/>
      <c r="I6" s="1056"/>
      <c r="J6" s="1038"/>
      <c r="N6" s="1054" t="s">
        <v>250</v>
      </c>
      <c r="O6" s="1055">
        <f>C11</f>
        <v>73.614285714285714</v>
      </c>
      <c r="P6" s="1053" t="s">
        <v>235</v>
      </c>
      <c r="Q6" s="1055">
        <f>C12</f>
        <v>8.9885906517519594</v>
      </c>
      <c r="R6" s="1053"/>
      <c r="S6" s="1055">
        <f>C25</f>
        <v>73.133333333333326</v>
      </c>
      <c r="T6" s="1053" t="s">
        <v>235</v>
      </c>
      <c r="U6" s="1055">
        <f>C26</f>
        <v>4.8308901871187233</v>
      </c>
      <c r="V6" s="1052"/>
    </row>
    <row r="7" spans="1:22">
      <c r="A7" s="1061" t="s">
        <v>66</v>
      </c>
      <c r="B7" s="1057"/>
      <c r="C7" s="1058">
        <v>85.8</v>
      </c>
      <c r="D7" s="1063">
        <v>6231.833333333333</v>
      </c>
      <c r="E7" s="1062">
        <v>72.599999999999994</v>
      </c>
      <c r="F7" s="1062">
        <v>500</v>
      </c>
      <c r="G7" s="1058">
        <v>369.921875</v>
      </c>
      <c r="H7" s="1057"/>
      <c r="I7" s="1056"/>
      <c r="J7" s="1038"/>
      <c r="M7" s="1028" t="s">
        <v>112</v>
      </c>
      <c r="N7" s="1065" t="s">
        <v>249</v>
      </c>
      <c r="O7" s="1172">
        <f>D11/1000</f>
        <v>5.3958261904761891</v>
      </c>
      <c r="P7" s="1172" t="s">
        <v>235</v>
      </c>
      <c r="Q7" s="1172">
        <f>D12/1000</f>
        <v>0.67840814884082723</v>
      </c>
      <c r="R7" s="1173"/>
      <c r="S7" s="1173">
        <f>D25/1000</f>
        <v>5.2222944444444455</v>
      </c>
      <c r="T7" s="1173" t="s">
        <v>235</v>
      </c>
      <c r="U7" s="1173">
        <f>D26/1000</f>
        <v>0.53170577174826361</v>
      </c>
      <c r="V7" s="1052"/>
    </row>
    <row r="8" spans="1:22">
      <c r="A8" s="1061" t="s">
        <v>69</v>
      </c>
      <c r="B8" s="1057"/>
      <c r="C8" s="1058">
        <v>71</v>
      </c>
      <c r="D8" s="1063">
        <v>5659.958333333333</v>
      </c>
      <c r="E8" s="1062">
        <v>79.7</v>
      </c>
      <c r="F8" s="1062">
        <v>425</v>
      </c>
      <c r="G8" s="1058">
        <v>376.51734104046244</v>
      </c>
      <c r="H8" s="1057"/>
      <c r="I8" s="1056"/>
      <c r="J8" s="1038"/>
      <c r="M8" s="1028" t="s">
        <v>112</v>
      </c>
      <c r="N8" s="1054" t="s">
        <v>248</v>
      </c>
      <c r="O8" s="1055">
        <f>E11</f>
        <v>73.385714285714286</v>
      </c>
      <c r="P8" s="1053" t="s">
        <v>235</v>
      </c>
      <c r="Q8" s="1055">
        <f>E12</f>
        <v>4.9127143113315581</v>
      </c>
      <c r="R8" s="1053"/>
      <c r="S8" s="1055">
        <f>E25</f>
        <v>71.333333333333314</v>
      </c>
      <c r="T8" s="1053" t="s">
        <v>235</v>
      </c>
      <c r="U8" s="1055">
        <f>E26</f>
        <v>4.496387438822417</v>
      </c>
      <c r="V8" s="1052"/>
    </row>
    <row r="9" spans="1:22">
      <c r="A9" s="1061" t="s">
        <v>70</v>
      </c>
      <c r="B9" s="1057"/>
      <c r="C9" s="1058">
        <v>61</v>
      </c>
      <c r="D9" s="1063">
        <v>4193.8016666666663</v>
      </c>
      <c r="E9" s="1062">
        <v>68.8</v>
      </c>
      <c r="F9" s="1062">
        <v>337.5</v>
      </c>
      <c r="G9" s="1058">
        <v>233.47457627118644</v>
      </c>
      <c r="H9" s="1057"/>
      <c r="I9" s="1056"/>
      <c r="J9" s="1038"/>
      <c r="N9" s="1054" t="s">
        <v>247</v>
      </c>
      <c r="O9" s="1055">
        <f>F11</f>
        <v>439.41428571428571</v>
      </c>
      <c r="P9" s="1053" t="s">
        <v>235</v>
      </c>
      <c r="Q9" s="1055">
        <f>F12</f>
        <v>57.455241378874788</v>
      </c>
      <c r="R9" s="1053"/>
      <c r="S9" s="1055">
        <f>F25</f>
        <v>441.90000000000003</v>
      </c>
      <c r="T9" s="1053" t="s">
        <v>235</v>
      </c>
      <c r="U9" s="1055">
        <f>F26</f>
        <v>47.697117313313136</v>
      </c>
      <c r="V9" s="1052"/>
    </row>
    <row r="10" spans="1:22">
      <c r="A10" s="1061" t="s">
        <v>74</v>
      </c>
      <c r="B10" s="1057"/>
      <c r="C10" s="1058">
        <v>65.599999999999994</v>
      </c>
      <c r="D10" s="1060">
        <v>5254.7733333333335</v>
      </c>
      <c r="E10" s="1059">
        <v>80.099999999999994</v>
      </c>
      <c r="F10" s="1059">
        <v>412.5</v>
      </c>
      <c r="G10" s="1058">
        <v>273.05825242718447</v>
      </c>
      <c r="H10" s="1057"/>
      <c r="I10" s="1056"/>
      <c r="J10" s="1038"/>
      <c r="N10" s="1054" t="s">
        <v>246</v>
      </c>
      <c r="O10" s="1055">
        <f>G11</f>
        <v>327.59849086331161</v>
      </c>
      <c r="P10" s="1053" t="s">
        <v>235</v>
      </c>
      <c r="Q10" s="1055">
        <f>G12</f>
        <v>66.247903892646121</v>
      </c>
      <c r="R10" s="1053"/>
      <c r="S10" s="1055">
        <f>G25</f>
        <v>320.78363506349706</v>
      </c>
      <c r="T10" s="1053" t="s">
        <v>235</v>
      </c>
      <c r="U10" s="1055">
        <f>G26</f>
        <v>40.946921921779087</v>
      </c>
      <c r="V10" s="1052"/>
    </row>
    <row r="11" spans="1:22">
      <c r="A11" s="1037" t="s">
        <v>76</v>
      </c>
      <c r="B11" s="1036">
        <v>22.9</v>
      </c>
      <c r="C11" s="1036">
        <f t="shared" ref="C11:I11" si="0">AVERAGE(C4:C10)</f>
        <v>73.614285714285714</v>
      </c>
      <c r="D11" s="1036">
        <f t="shared" si="0"/>
        <v>5395.8261904761894</v>
      </c>
      <c r="E11" s="1036">
        <f t="shared" si="0"/>
        <v>73.385714285714286</v>
      </c>
      <c r="F11" s="1036">
        <f t="shared" si="0"/>
        <v>439.41428571428571</v>
      </c>
      <c r="G11" s="1036">
        <f t="shared" si="0"/>
        <v>327.59849086331161</v>
      </c>
      <c r="H11" s="1036" t="e">
        <f t="shared" si="0"/>
        <v>#DIV/0!</v>
      </c>
      <c r="I11" s="1036" t="e">
        <f t="shared" si="0"/>
        <v>#DIV/0!</v>
      </c>
      <c r="J11" s="1038"/>
      <c r="N11" s="1054" t="s">
        <v>245</v>
      </c>
      <c r="O11" s="1053"/>
      <c r="P11" s="1053" t="s">
        <v>235</v>
      </c>
      <c r="Q11" s="1053"/>
      <c r="R11" s="1053"/>
      <c r="S11" s="1053"/>
      <c r="T11" s="1053" t="s">
        <v>235</v>
      </c>
      <c r="U11" s="1053"/>
      <c r="V11" s="1052"/>
    </row>
    <row r="12" spans="1:22">
      <c r="A12" s="1037" t="s">
        <v>13</v>
      </c>
      <c r="B12" s="1036">
        <v>3</v>
      </c>
      <c r="C12" s="1036">
        <f t="shared" ref="C12:I12" si="1">STDEVA(C4:C10)</f>
        <v>8.9885906517519594</v>
      </c>
      <c r="D12" s="1036">
        <f t="shared" si="1"/>
        <v>678.40814884082727</v>
      </c>
      <c r="E12" s="1036">
        <f t="shared" si="1"/>
        <v>4.9127143113315581</v>
      </c>
      <c r="F12" s="1036">
        <f t="shared" si="1"/>
        <v>57.455241378874788</v>
      </c>
      <c r="G12" s="1036">
        <f t="shared" si="1"/>
        <v>66.247903892646121</v>
      </c>
      <c r="H12" s="1036" t="e">
        <f t="shared" si="1"/>
        <v>#DIV/0!</v>
      </c>
      <c r="I12" s="1036" t="e">
        <f t="shared" si="1"/>
        <v>#DIV/0!</v>
      </c>
      <c r="J12" s="1038"/>
      <c r="N12" s="1051" t="s">
        <v>244</v>
      </c>
      <c r="O12" s="1050"/>
      <c r="P12" s="1050" t="s">
        <v>235</v>
      </c>
      <c r="Q12" s="1050"/>
      <c r="R12" s="1050"/>
      <c r="S12" s="1050"/>
      <c r="T12" s="1050" t="s">
        <v>235</v>
      </c>
      <c r="U12" s="1050"/>
      <c r="V12" s="1075"/>
    </row>
    <row r="13" spans="1:22">
      <c r="A13" s="1037" t="s">
        <v>14</v>
      </c>
      <c r="B13" s="1036"/>
      <c r="C13" s="1036">
        <f t="shared" ref="C13:I13" si="2">C12/SQRT(COUNT(C4:C10))</f>
        <v>3.3973679287850955</v>
      </c>
      <c r="D13" s="1036">
        <f t="shared" si="2"/>
        <v>256.41417846178865</v>
      </c>
      <c r="E13" s="1036">
        <f t="shared" si="2"/>
        <v>1.856831475727321</v>
      </c>
      <c r="F13" s="1036">
        <f t="shared" si="2"/>
        <v>21.716040029384356</v>
      </c>
      <c r="G13" s="1036">
        <f t="shared" si="2"/>
        <v>25.039354082749924</v>
      </c>
      <c r="H13" s="1036" t="e">
        <f t="shared" si="2"/>
        <v>#DIV/0!</v>
      </c>
      <c r="I13" s="1036" t="e">
        <f t="shared" si="2"/>
        <v>#DIV/0!</v>
      </c>
      <c r="J13" s="1038"/>
    </row>
    <row r="14" spans="1:22">
      <c r="A14" s="1034" t="s">
        <v>96</v>
      </c>
      <c r="B14" s="1034"/>
      <c r="C14" s="1034"/>
      <c r="D14" s="1034"/>
      <c r="E14" s="1034"/>
      <c r="F14" s="1034"/>
      <c r="G14" s="1034"/>
      <c r="H14" s="1034"/>
      <c r="I14" s="1034"/>
      <c r="J14" s="1048"/>
    </row>
    <row r="15" spans="1:22">
      <c r="A15" s="1034"/>
      <c r="B15" s="1034"/>
      <c r="C15" s="1049"/>
      <c r="D15" s="1048"/>
      <c r="E15" s="1048"/>
      <c r="F15" s="1048"/>
      <c r="G15" s="1048"/>
      <c r="H15" s="1048"/>
      <c r="I15" s="1048"/>
      <c r="J15" s="1048"/>
    </row>
    <row r="16" spans="1:22">
      <c r="A16" s="1043" t="s">
        <v>57</v>
      </c>
      <c r="B16" s="1039"/>
      <c r="C16" s="1040">
        <v>79.8</v>
      </c>
      <c r="D16" s="1040">
        <v>5905.5</v>
      </c>
      <c r="E16" s="1041">
        <v>74</v>
      </c>
      <c r="F16" s="1041">
        <v>515.79999999999995</v>
      </c>
      <c r="G16" s="1040">
        <v>384.20658682634729</v>
      </c>
      <c r="H16" s="1039"/>
      <c r="I16" s="1039"/>
      <c r="J16" s="1047" t="s">
        <v>243</v>
      </c>
      <c r="M16" s="1028" t="s">
        <v>242</v>
      </c>
    </row>
    <row r="17" spans="1:10">
      <c r="A17" s="1043" t="s">
        <v>59</v>
      </c>
      <c r="B17" s="1039"/>
      <c r="C17" s="1040">
        <v>72.099999999999994</v>
      </c>
      <c r="D17" s="1045">
        <v>5689.583333333333</v>
      </c>
      <c r="E17" s="1044">
        <v>78.900000000000006</v>
      </c>
      <c r="F17" s="1044">
        <v>500</v>
      </c>
      <c r="G17" s="1040">
        <v>355.46875000000006</v>
      </c>
      <c r="H17" s="1039"/>
      <c r="I17" s="1039"/>
      <c r="J17" s="1047" t="s">
        <v>241</v>
      </c>
    </row>
    <row r="18" spans="1:10">
      <c r="A18" s="1043" t="s">
        <v>62</v>
      </c>
      <c r="B18" s="1039"/>
      <c r="C18" s="1046">
        <v>72.8</v>
      </c>
      <c r="D18" s="1045">
        <v>4685.166666666667</v>
      </c>
      <c r="E18" s="1044">
        <v>64.400000000000006</v>
      </c>
      <c r="F18" s="1044">
        <v>401.7</v>
      </c>
      <c r="G18" s="1040">
        <v>281.89999999999998</v>
      </c>
      <c r="H18" s="1039"/>
      <c r="I18" s="1039"/>
      <c r="J18" s="1038"/>
    </row>
    <row r="19" spans="1:10">
      <c r="A19" s="1043" t="s">
        <v>64</v>
      </c>
      <c r="B19" s="1039"/>
      <c r="C19" s="1040">
        <v>63.2</v>
      </c>
      <c r="D19" s="1045">
        <v>4239.416666666667</v>
      </c>
      <c r="E19" s="1044">
        <v>67.099999999999994</v>
      </c>
      <c r="F19" s="1044">
        <v>365.8</v>
      </c>
      <c r="G19" s="1040">
        <v>249.71751412429379</v>
      </c>
      <c r="H19" s="1039"/>
      <c r="I19" s="1039"/>
      <c r="J19" s="1038"/>
    </row>
    <row r="20" spans="1:10">
      <c r="A20" s="1043" t="s">
        <v>67</v>
      </c>
      <c r="B20" s="1039"/>
      <c r="C20" s="1040">
        <v>73.900000000000006</v>
      </c>
      <c r="D20" s="1045">
        <v>5520.916666666667</v>
      </c>
      <c r="E20" s="1044">
        <v>74.7</v>
      </c>
      <c r="F20" s="1044">
        <v>425</v>
      </c>
      <c r="G20" s="1040">
        <v>347.24409448818892</v>
      </c>
      <c r="H20" s="1039"/>
      <c r="I20" s="1039"/>
      <c r="J20" s="1038"/>
    </row>
    <row r="21" spans="1:10">
      <c r="A21" s="1043" t="s">
        <v>68</v>
      </c>
      <c r="B21" s="1039"/>
      <c r="C21" s="1040">
        <v>76.099999999999994</v>
      </c>
      <c r="D21" s="1045">
        <v>5106</v>
      </c>
      <c r="E21" s="1044">
        <v>67.099999999999994</v>
      </c>
      <c r="F21" s="1044">
        <v>425</v>
      </c>
      <c r="G21" s="1040">
        <v>310.51020408163265</v>
      </c>
      <c r="H21" s="1039"/>
      <c r="I21" s="1039"/>
      <c r="J21" s="1038"/>
    </row>
    <row r="22" spans="1:10">
      <c r="A22" s="1043" t="s">
        <v>71</v>
      </c>
      <c r="B22" s="1039"/>
      <c r="C22" s="1040">
        <v>78.099999999999994</v>
      </c>
      <c r="D22" s="1045">
        <v>5649.9766666666674</v>
      </c>
      <c r="E22" s="1044">
        <v>72.3</v>
      </c>
      <c r="F22" s="1044">
        <v>475</v>
      </c>
      <c r="G22" s="1040">
        <v>340.33149171270713</v>
      </c>
      <c r="H22" s="1039"/>
      <c r="I22" s="1039"/>
      <c r="J22" s="1038"/>
    </row>
    <row r="23" spans="1:10">
      <c r="A23" s="1043" t="s">
        <v>72</v>
      </c>
      <c r="B23" s="1039"/>
      <c r="C23" s="1040">
        <v>70.900000000000006</v>
      </c>
      <c r="D23" s="1045">
        <v>5040.9183333333331</v>
      </c>
      <c r="E23" s="1044">
        <v>71.099999999999994</v>
      </c>
      <c r="F23" s="1044">
        <v>425</v>
      </c>
      <c r="G23" s="1040">
        <v>317.55725190839695</v>
      </c>
      <c r="H23" s="1039"/>
      <c r="I23" s="1039"/>
      <c r="J23" s="1038"/>
    </row>
    <row r="24" spans="1:10">
      <c r="A24" s="1043" t="s">
        <v>73</v>
      </c>
      <c r="B24" s="1039"/>
      <c r="C24" s="1040">
        <v>71.3</v>
      </c>
      <c r="D24" s="1042">
        <v>5163.1716666666671</v>
      </c>
      <c r="E24" s="1041">
        <v>72.400000000000006</v>
      </c>
      <c r="F24" s="1041">
        <v>443.8</v>
      </c>
      <c r="G24" s="1040">
        <v>300.11682242990651</v>
      </c>
      <c r="H24" s="1039"/>
      <c r="I24" s="1039"/>
      <c r="J24" s="1038"/>
    </row>
    <row r="25" spans="1:10">
      <c r="A25" s="1037" t="s">
        <v>76</v>
      </c>
      <c r="B25" s="1036">
        <v>21.1</v>
      </c>
      <c r="C25" s="1036">
        <f t="shared" ref="C25:I25" si="3">AVERAGE(C16:C24)</f>
        <v>73.133333333333326</v>
      </c>
      <c r="D25" s="1036">
        <f t="shared" si="3"/>
        <v>5222.2944444444456</v>
      </c>
      <c r="E25" s="1036">
        <f t="shared" si="3"/>
        <v>71.333333333333314</v>
      </c>
      <c r="F25" s="1036">
        <f t="shared" si="3"/>
        <v>441.90000000000003</v>
      </c>
      <c r="G25" s="1036">
        <f t="shared" si="3"/>
        <v>320.78363506349706</v>
      </c>
      <c r="H25" s="1036" t="e">
        <f t="shared" si="3"/>
        <v>#DIV/0!</v>
      </c>
      <c r="I25" s="1036" t="e">
        <f t="shared" si="3"/>
        <v>#DIV/0!</v>
      </c>
    </row>
    <row r="26" spans="1:10">
      <c r="A26" s="1037" t="s">
        <v>13</v>
      </c>
      <c r="B26" s="1036">
        <v>3.9</v>
      </c>
      <c r="C26" s="1036">
        <f t="shared" ref="C26:I26" si="4">STDEVA(C16:C24)</f>
        <v>4.8308901871187233</v>
      </c>
      <c r="D26" s="1036">
        <f t="shared" si="4"/>
        <v>531.7057717482636</v>
      </c>
      <c r="E26" s="1036">
        <f t="shared" si="4"/>
        <v>4.496387438822417</v>
      </c>
      <c r="F26" s="1036">
        <f t="shared" si="4"/>
        <v>47.697117313313136</v>
      </c>
      <c r="G26" s="1036">
        <f t="shared" si="4"/>
        <v>40.946921921779087</v>
      </c>
      <c r="H26" s="1036" t="e">
        <f t="shared" si="4"/>
        <v>#DIV/0!</v>
      </c>
      <c r="I26" s="1036" t="e">
        <f t="shared" si="4"/>
        <v>#DIV/0!</v>
      </c>
    </row>
    <row r="27" spans="1:10">
      <c r="A27" s="1037" t="s">
        <v>14</v>
      </c>
      <c r="B27" s="1036"/>
      <c r="C27" s="1036">
        <f t="shared" ref="C27:I27" si="5">C26/SQRT(COUNT(C16:C24))</f>
        <v>1.6102967290395744</v>
      </c>
      <c r="D27" s="1036">
        <f t="shared" si="5"/>
        <v>177.23525724942121</v>
      </c>
      <c r="E27" s="1036">
        <f t="shared" si="5"/>
        <v>1.4987958129408057</v>
      </c>
      <c r="F27" s="1036">
        <f t="shared" si="5"/>
        <v>15.899039104437712</v>
      </c>
      <c r="G27" s="1036">
        <f t="shared" si="5"/>
        <v>13.648973973926362</v>
      </c>
      <c r="H27" s="1036" t="e">
        <f t="shared" si="5"/>
        <v>#DIV/0!</v>
      </c>
      <c r="I27" s="1036" t="e">
        <f t="shared" si="5"/>
        <v>#DIV/0!</v>
      </c>
    </row>
    <row r="28" spans="1:10">
      <c r="A28" s="1035" t="s">
        <v>240</v>
      </c>
      <c r="B28" s="1034"/>
      <c r="C28" s="1028">
        <f t="shared" ref="C28:I28" si="6">_xlfn.T.TEST(C4:C10,C16:C24,2,2)</f>
        <v>0.89235725722297743</v>
      </c>
      <c r="D28" s="1028">
        <f t="shared" si="6"/>
        <v>0.57450447397254001</v>
      </c>
      <c r="E28" s="1028">
        <f t="shared" si="6"/>
        <v>0.39879907893704258</v>
      </c>
      <c r="F28" s="1028">
        <f t="shared" si="6"/>
        <v>0.9259215164508463</v>
      </c>
      <c r="G28" s="1028">
        <f t="shared" si="6"/>
        <v>0.80334251943617441</v>
      </c>
      <c r="H28" s="1028" t="e">
        <f t="shared" si="6"/>
        <v>#DIV/0!</v>
      </c>
      <c r="I28" s="1028" t="e">
        <f t="shared" si="6"/>
        <v>#DIV/0!</v>
      </c>
    </row>
    <row r="33" spans="1:8">
      <c r="A33" s="1030"/>
      <c r="B33" s="1033" t="s">
        <v>239</v>
      </c>
      <c r="C33" s="1033" t="s">
        <v>238</v>
      </c>
      <c r="D33" s="1033" t="s">
        <v>237</v>
      </c>
      <c r="E33" s="1029"/>
      <c r="F33" s="1029"/>
      <c r="G33" s="1029"/>
      <c r="H33" s="1029"/>
    </row>
    <row r="34" spans="1:8">
      <c r="A34" s="1031"/>
      <c r="D34" s="1028">
        <f t="shared" ref="D34:D50" si="7">(C34-B34)/365.25</f>
        <v>0</v>
      </c>
      <c r="E34" s="1032" t="s">
        <v>236</v>
      </c>
      <c r="F34" s="1032"/>
      <c r="G34" s="1032"/>
      <c r="H34" s="1032"/>
    </row>
    <row r="35" spans="1:8">
      <c r="A35" s="1031" t="s">
        <v>57</v>
      </c>
      <c r="D35" s="1028">
        <f t="shared" si="7"/>
        <v>0</v>
      </c>
    </row>
    <row r="36" spans="1:8">
      <c r="A36" s="1031" t="s">
        <v>58</v>
      </c>
      <c r="D36" s="1028">
        <f t="shared" si="7"/>
        <v>0</v>
      </c>
    </row>
    <row r="37" spans="1:8">
      <c r="A37" s="1031" t="s">
        <v>59</v>
      </c>
      <c r="D37" s="1028">
        <f t="shared" si="7"/>
        <v>0</v>
      </c>
    </row>
    <row r="38" spans="1:8">
      <c r="A38" s="1031" t="s">
        <v>62</v>
      </c>
      <c r="D38" s="1028">
        <f t="shared" si="7"/>
        <v>0</v>
      </c>
    </row>
    <row r="39" spans="1:8">
      <c r="A39" s="1031" t="s">
        <v>63</v>
      </c>
      <c r="D39" s="1028">
        <f t="shared" si="7"/>
        <v>0</v>
      </c>
    </row>
    <row r="40" spans="1:8">
      <c r="A40" s="1031" t="s">
        <v>64</v>
      </c>
      <c r="D40" s="1028">
        <f t="shared" si="7"/>
        <v>0</v>
      </c>
    </row>
    <row r="41" spans="1:8">
      <c r="A41" s="1031" t="s">
        <v>65</v>
      </c>
      <c r="D41" s="1028">
        <f t="shared" si="7"/>
        <v>0</v>
      </c>
    </row>
    <row r="42" spans="1:8">
      <c r="A42" s="1031" t="s">
        <v>66</v>
      </c>
      <c r="D42" s="1028">
        <f t="shared" si="7"/>
        <v>0</v>
      </c>
    </row>
    <row r="43" spans="1:8">
      <c r="A43" s="1031" t="s">
        <v>67</v>
      </c>
      <c r="D43" s="1028">
        <f t="shared" si="7"/>
        <v>0</v>
      </c>
    </row>
    <row r="44" spans="1:8">
      <c r="A44" s="1031" t="s">
        <v>68</v>
      </c>
      <c r="D44" s="1028">
        <f t="shared" si="7"/>
        <v>0</v>
      </c>
    </row>
    <row r="45" spans="1:8">
      <c r="A45" s="1031" t="s">
        <v>69</v>
      </c>
      <c r="D45" s="1028">
        <f t="shared" si="7"/>
        <v>0</v>
      </c>
    </row>
    <row r="46" spans="1:8">
      <c r="A46" s="1031" t="s">
        <v>70</v>
      </c>
      <c r="D46" s="1028">
        <f t="shared" si="7"/>
        <v>0</v>
      </c>
    </row>
    <row r="47" spans="1:8">
      <c r="A47" s="1031" t="s">
        <v>71</v>
      </c>
      <c r="D47" s="1028">
        <f t="shared" si="7"/>
        <v>0</v>
      </c>
    </row>
    <row r="48" spans="1:8">
      <c r="A48" s="1031" t="s">
        <v>72</v>
      </c>
      <c r="D48" s="1028">
        <f t="shared" si="7"/>
        <v>0</v>
      </c>
    </row>
    <row r="49" spans="1:8">
      <c r="A49" s="1031" t="s">
        <v>73</v>
      </c>
      <c r="D49" s="1028">
        <f t="shared" si="7"/>
        <v>0</v>
      </c>
    </row>
    <row r="50" spans="1:8">
      <c r="A50" s="1030" t="s">
        <v>74</v>
      </c>
      <c r="B50" s="1029"/>
      <c r="C50" s="1029"/>
      <c r="D50" s="1029">
        <f t="shared" si="7"/>
        <v>0</v>
      </c>
      <c r="E50" s="1029"/>
      <c r="F50" s="1029"/>
      <c r="G50" s="1029"/>
      <c r="H50" s="1029"/>
    </row>
  </sheetData>
  <mergeCells count="4">
    <mergeCell ref="O4:Q4"/>
    <mergeCell ref="O3:Q3"/>
    <mergeCell ref="S4:U4"/>
    <mergeCell ref="S3:U3"/>
  </mergeCells>
  <hyperlinks>
    <hyperlink ref="G2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R21" sqref="R21"/>
    </sheetView>
  </sheetViews>
  <sheetFormatPr baseColWidth="10" defaultRowHeight="15.5"/>
  <cols>
    <col min="1" max="1" width="28" bestFit="1" customWidth="1"/>
    <col min="2" max="2" width="5.1640625" bestFit="1" customWidth="1"/>
    <col min="3" max="3" width="2.33203125" bestFit="1" customWidth="1"/>
    <col min="4" max="4" width="4.1640625" bestFit="1" customWidth="1"/>
    <col min="5" max="5" width="5.1640625" bestFit="1" customWidth="1"/>
    <col min="6" max="6" width="2.33203125" bestFit="1" customWidth="1"/>
    <col min="7" max="7" width="4.1640625" bestFit="1" customWidth="1"/>
    <col min="8" max="8" width="3.1640625" customWidth="1"/>
    <col min="9" max="9" width="5.1640625" bestFit="1" customWidth="1"/>
    <col min="10" max="10" width="2.33203125" bestFit="1" customWidth="1"/>
    <col min="11" max="11" width="4.1640625" bestFit="1" customWidth="1"/>
    <col min="12" max="12" width="5.1640625" bestFit="1" customWidth="1"/>
    <col min="13" max="13" width="2.33203125" bestFit="1" customWidth="1"/>
    <col min="14" max="14" width="4.1640625" bestFit="1" customWidth="1"/>
  </cols>
  <sheetData>
    <row r="1" spans="1:26" ht="16" thickBot="1">
      <c r="A1" s="1012"/>
      <c r="B1" s="1538" t="s">
        <v>84</v>
      </c>
      <c r="C1" s="1538"/>
      <c r="D1" s="1538"/>
      <c r="E1" s="1538"/>
      <c r="F1" s="1538"/>
      <c r="G1" s="1538"/>
      <c r="H1" s="1013"/>
      <c r="I1" s="1538" t="s">
        <v>229</v>
      </c>
      <c r="J1" s="1538"/>
      <c r="K1" s="1538"/>
      <c r="L1" s="1538"/>
      <c r="M1" s="1538"/>
      <c r="N1" s="1538"/>
      <c r="O1" s="18"/>
      <c r="P1" s="18"/>
    </row>
    <row r="2" spans="1:26">
      <c r="A2" s="1016"/>
      <c r="B2" s="1539" t="s">
        <v>156</v>
      </c>
      <c r="C2" s="1539"/>
      <c r="D2" s="1539"/>
      <c r="E2" s="1539" t="s">
        <v>157</v>
      </c>
      <c r="F2" s="1539"/>
      <c r="G2" s="1539"/>
      <c r="H2" s="1017"/>
      <c r="I2" s="1539" t="s">
        <v>156</v>
      </c>
      <c r="J2" s="1539"/>
      <c r="K2" s="1539"/>
      <c r="L2" s="1539" t="s">
        <v>157</v>
      </c>
      <c r="M2" s="1539"/>
      <c r="N2" s="1539"/>
      <c r="O2" s="18"/>
      <c r="P2" s="18"/>
    </row>
    <row r="3" spans="1:26" ht="18.5">
      <c r="A3" s="1014" t="s">
        <v>234</v>
      </c>
      <c r="B3" s="1020">
        <v>4.7</v>
      </c>
      <c r="C3" s="1021" t="s">
        <v>235</v>
      </c>
      <c r="D3" s="1018">
        <v>3.3</v>
      </c>
      <c r="E3" s="1020">
        <v>5.7</v>
      </c>
      <c r="F3" s="1021" t="s">
        <v>235</v>
      </c>
      <c r="G3" s="1018">
        <v>3</v>
      </c>
      <c r="H3" s="1022"/>
      <c r="I3" s="1020">
        <v>7.4</v>
      </c>
      <c r="J3" s="1021" t="s">
        <v>235</v>
      </c>
      <c r="K3" s="1018">
        <v>2.1</v>
      </c>
      <c r="L3" s="1020">
        <v>6.2</v>
      </c>
      <c r="M3" s="1021" t="s">
        <v>235</v>
      </c>
      <c r="N3" s="1018">
        <v>1.6</v>
      </c>
      <c r="O3" s="18"/>
      <c r="P3" s="18"/>
      <c r="V3" s="1015"/>
      <c r="W3" s="1015"/>
      <c r="X3" s="1015"/>
      <c r="Y3" s="1015"/>
      <c r="Z3" s="1015"/>
    </row>
    <row r="4" spans="1:26">
      <c r="A4" s="1014" t="s">
        <v>230</v>
      </c>
      <c r="B4" s="1020">
        <v>18.100000000000001</v>
      </c>
      <c r="C4" s="1021" t="s">
        <v>235</v>
      </c>
      <c r="D4" s="1018">
        <v>2.9</v>
      </c>
      <c r="E4" s="1020">
        <v>18.100000000000001</v>
      </c>
      <c r="F4" s="1021" t="s">
        <v>235</v>
      </c>
      <c r="G4" s="1018">
        <v>1.6</v>
      </c>
      <c r="H4" s="1022"/>
      <c r="I4" s="1020">
        <v>18.899999999999999</v>
      </c>
      <c r="J4" s="1021" t="s">
        <v>235</v>
      </c>
      <c r="K4" s="1018">
        <v>0.6</v>
      </c>
      <c r="L4" s="1020">
        <v>19.3</v>
      </c>
      <c r="M4" s="1021" t="s">
        <v>235</v>
      </c>
      <c r="N4" s="1018">
        <v>1</v>
      </c>
      <c r="O4" s="18"/>
      <c r="P4" s="18"/>
      <c r="V4" s="1015"/>
      <c r="W4" s="1015"/>
      <c r="X4" s="1015"/>
      <c r="Y4" s="1015"/>
      <c r="Z4" s="1015"/>
    </row>
    <row r="5" spans="1:26">
      <c r="A5" s="1014" t="s">
        <v>231</v>
      </c>
      <c r="B5" s="1021"/>
      <c r="C5" s="1021" t="s">
        <v>235</v>
      </c>
      <c r="D5" s="1021"/>
      <c r="E5" s="1021"/>
      <c r="F5" s="1021" t="s">
        <v>235</v>
      </c>
      <c r="G5" s="1021"/>
      <c r="H5" s="1021"/>
      <c r="I5" s="1021"/>
      <c r="J5" s="1021" t="s">
        <v>235</v>
      </c>
      <c r="K5" s="1021"/>
      <c r="L5" s="1020"/>
      <c r="M5" s="1021" t="s">
        <v>235</v>
      </c>
      <c r="N5" s="1023"/>
      <c r="O5" s="18"/>
      <c r="P5" s="18"/>
    </row>
    <row r="6" spans="1:26">
      <c r="A6" s="1014" t="s">
        <v>232</v>
      </c>
      <c r="B6" s="1021">
        <v>19.899999999999999</v>
      </c>
      <c r="C6" s="1021" t="s">
        <v>235</v>
      </c>
      <c r="D6" s="1021">
        <v>1.5</v>
      </c>
      <c r="E6" s="1021">
        <v>19.5</v>
      </c>
      <c r="F6" s="1021" t="s">
        <v>235</v>
      </c>
      <c r="G6" s="1021">
        <v>0.8</v>
      </c>
      <c r="H6" s="1021"/>
      <c r="I6" s="1021">
        <v>19.100000000000001</v>
      </c>
      <c r="J6" s="1021" t="s">
        <v>235</v>
      </c>
      <c r="K6" s="1021">
        <v>0.5</v>
      </c>
      <c r="L6" s="1021">
        <v>19.2</v>
      </c>
      <c r="M6" s="1021" t="s">
        <v>235</v>
      </c>
      <c r="N6" s="1023">
        <v>0.6</v>
      </c>
      <c r="O6" s="18"/>
      <c r="P6" s="18"/>
    </row>
    <row r="7" spans="1:26">
      <c r="A7" s="1019" t="s">
        <v>233</v>
      </c>
      <c r="B7" s="1024">
        <v>18.899999999999999</v>
      </c>
      <c r="C7" s="1024" t="s">
        <v>235</v>
      </c>
      <c r="D7" s="1024">
        <v>1.4</v>
      </c>
      <c r="E7" s="1024">
        <v>18.899999999999999</v>
      </c>
      <c r="F7" s="1024" t="s">
        <v>235</v>
      </c>
      <c r="G7" s="1024">
        <v>1.2</v>
      </c>
      <c r="H7" s="1024"/>
      <c r="I7" s="1024">
        <v>19</v>
      </c>
      <c r="J7" s="1024" t="s">
        <v>235</v>
      </c>
      <c r="K7" s="1027">
        <v>0.3</v>
      </c>
      <c r="L7" s="1024">
        <v>19.3</v>
      </c>
      <c r="M7" s="1024" t="s">
        <v>235</v>
      </c>
      <c r="N7" s="1022">
        <v>1.1000000000000001</v>
      </c>
      <c r="O7" s="18"/>
      <c r="P7" s="18"/>
    </row>
    <row r="8" spans="1:26">
      <c r="A8" s="1016"/>
      <c r="B8" s="1025">
        <f>B7-B6</f>
        <v>-1</v>
      </c>
      <c r="C8" s="1025" t="s">
        <v>235</v>
      </c>
      <c r="D8" s="1025">
        <f>D7-D6</f>
        <v>-0.10000000000000009</v>
      </c>
      <c r="E8" s="1025">
        <f>E7-E6</f>
        <v>-0.60000000000000142</v>
      </c>
      <c r="F8" s="1025" t="s">
        <v>235</v>
      </c>
      <c r="G8" s="1025">
        <f>G7-G6</f>
        <v>0.39999999999999991</v>
      </c>
      <c r="H8" s="1025"/>
      <c r="I8" s="1025">
        <f>I7-I6</f>
        <v>-0.10000000000000142</v>
      </c>
      <c r="J8" s="1025" t="s">
        <v>235</v>
      </c>
      <c r="K8" s="1025">
        <f>K7-K6</f>
        <v>-0.2</v>
      </c>
      <c r="L8" s="1025">
        <f>L7-L6</f>
        <v>0.10000000000000142</v>
      </c>
      <c r="M8" s="1025" t="s">
        <v>235</v>
      </c>
      <c r="N8" s="1026">
        <f>N7-N6</f>
        <v>0.50000000000000011</v>
      </c>
      <c r="O8" s="18"/>
      <c r="P8" s="18"/>
    </row>
    <row r="9" spans="1:26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6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6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6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6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6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6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6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</sheetData>
  <mergeCells count="6">
    <mergeCell ref="B1:G1"/>
    <mergeCell ref="B2:D2"/>
    <mergeCell ref="E2:G2"/>
    <mergeCell ref="I2:K2"/>
    <mergeCell ref="L2:N2"/>
    <mergeCell ref="I1:N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Normal="100" zoomScaleSheetLayoutView="150" workbookViewId="0">
      <selection activeCell="T22" sqref="T22"/>
    </sheetView>
  </sheetViews>
  <sheetFormatPr baseColWidth="10" defaultRowHeight="15.5"/>
  <cols>
    <col min="1" max="1" width="14.83203125" bestFit="1" customWidth="1"/>
    <col min="2" max="2" width="6.6640625" bestFit="1" customWidth="1"/>
    <col min="3" max="3" width="2.33203125" bestFit="1" customWidth="1"/>
    <col min="4" max="4" width="7.6640625" style="593" customWidth="1"/>
    <col min="5" max="5" width="5.5" customWidth="1"/>
    <col min="6" max="6" width="2.33203125" bestFit="1" customWidth="1"/>
    <col min="7" max="7" width="5.6640625" bestFit="1" customWidth="1"/>
    <col min="8" max="8" width="9.83203125" customWidth="1"/>
    <col min="9" max="9" width="5.1640625" bestFit="1" customWidth="1"/>
    <col min="10" max="10" width="2.33203125" bestFit="1" customWidth="1"/>
    <col min="11" max="11" width="7.6640625" customWidth="1"/>
    <col min="12" max="12" width="5.1640625" bestFit="1" customWidth="1"/>
    <col min="13" max="13" width="2.33203125" bestFit="1" customWidth="1"/>
    <col min="14" max="14" width="4.1640625" bestFit="1" customWidth="1"/>
  </cols>
  <sheetData>
    <row r="1" spans="1:14" ht="16" thickBot="1">
      <c r="A1" s="1012"/>
      <c r="B1" s="1538" t="s">
        <v>84</v>
      </c>
      <c r="C1" s="1538"/>
      <c r="D1" s="1538"/>
      <c r="E1" s="1538"/>
      <c r="F1" s="1538"/>
      <c r="G1" s="1538"/>
      <c r="H1" s="1013"/>
      <c r="I1" s="1538" t="s">
        <v>229</v>
      </c>
      <c r="J1" s="1538"/>
      <c r="K1" s="1538"/>
      <c r="L1" s="1538"/>
      <c r="M1" s="1538"/>
      <c r="N1" s="1538"/>
    </row>
    <row r="2" spans="1:14">
      <c r="A2" s="1016"/>
      <c r="B2" s="1539" t="s">
        <v>156</v>
      </c>
      <c r="C2" s="1539"/>
      <c r="D2" s="1539"/>
      <c r="E2" s="1539" t="s">
        <v>157</v>
      </c>
      <c r="F2" s="1539"/>
      <c r="G2" s="1539"/>
      <c r="H2" s="1078"/>
      <c r="I2" s="1539" t="s">
        <v>156</v>
      </c>
      <c r="J2" s="1539"/>
      <c r="K2" s="1539"/>
      <c r="L2" s="1539" t="s">
        <v>157</v>
      </c>
      <c r="M2" s="1539"/>
      <c r="N2" s="1539"/>
    </row>
    <row r="3" spans="1:14" s="1079" customFormat="1">
      <c r="A3" s="1541" t="s">
        <v>271</v>
      </c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</row>
    <row r="4" spans="1:14">
      <c r="A4" s="1014" t="s">
        <v>265</v>
      </c>
      <c r="B4" s="1149">
        <f>'Keiser INE'!X31</f>
        <v>4.0285714285714294</v>
      </c>
      <c r="C4" s="1021" t="s">
        <v>235</v>
      </c>
      <c r="D4" s="1018">
        <f>'Keiser INE'!X32</f>
        <v>0.83205425647266806</v>
      </c>
      <c r="E4" s="1149">
        <f>'Keiser INE'!X45</f>
        <v>4.0542857142857143</v>
      </c>
      <c r="F4" s="1021" t="s">
        <v>235</v>
      </c>
      <c r="G4" s="1018">
        <f>'Keiser INE'!X46</f>
        <v>0.89042793350271132</v>
      </c>
      <c r="H4" s="1022"/>
      <c r="I4" s="1149">
        <f>'Keiser INE'!J31</f>
        <v>3.8085714285714287</v>
      </c>
      <c r="J4" s="1021" t="s">
        <v>235</v>
      </c>
      <c r="K4" s="1018">
        <f>'Keiser INE'!J32</f>
        <v>0.78704994698406494</v>
      </c>
      <c r="L4" s="1149">
        <f>'Keiser INE'!J45</f>
        <v>4.2299999999999995</v>
      </c>
      <c r="M4" s="1021" t="s">
        <v>235</v>
      </c>
      <c r="N4" s="1149">
        <f>'Keiser INE'!J46</f>
        <v>0.52144031297934523</v>
      </c>
    </row>
    <row r="5" spans="1:14">
      <c r="A5" s="1014" t="s">
        <v>266</v>
      </c>
      <c r="B5" s="1150">
        <f>'Keiser INE'!Y31</f>
        <v>3030.2857142857142</v>
      </c>
      <c r="C5" s="1147" t="s">
        <v>235</v>
      </c>
      <c r="D5" s="1144">
        <f>'Keiser INE'!Y32</f>
        <v>441.49583398778623</v>
      </c>
      <c r="E5" s="1150">
        <f>'Keiser INE'!Y45</f>
        <v>2971</v>
      </c>
      <c r="F5" s="1147" t="s">
        <v>235</v>
      </c>
      <c r="G5" s="1144">
        <f>'Keiser INE'!Y46</f>
        <v>527.89014008598417</v>
      </c>
      <c r="H5" s="1148"/>
      <c r="I5" s="1150">
        <f>'Keiser INE'!K31</f>
        <v>3399.5714285714284</v>
      </c>
      <c r="J5" s="1147" t="s">
        <v>235</v>
      </c>
      <c r="K5" s="1144">
        <f>'Keiser INE'!K32</f>
        <v>901.7939264123961</v>
      </c>
      <c r="L5" s="1150">
        <f>'Keiser INE'!K45</f>
        <v>3094.5714285714284</v>
      </c>
      <c r="M5" s="1147" t="s">
        <v>235</v>
      </c>
      <c r="N5" s="1150">
        <f>'Keiser INE'!K46</f>
        <v>725.34195548096682</v>
      </c>
    </row>
    <row r="6" spans="1:14">
      <c r="A6" s="1014" t="s">
        <v>267</v>
      </c>
      <c r="B6" s="1150">
        <f>'Keiser INE'!Z31</f>
        <v>1516.1428571428571</v>
      </c>
      <c r="C6" s="1147" t="s">
        <v>235</v>
      </c>
      <c r="D6" s="1144">
        <f>'Keiser INE'!Z32</f>
        <v>331.9525209882824</v>
      </c>
      <c r="E6" s="1150">
        <f>'Keiser INE'!Z45</f>
        <v>1523.5714285714287</v>
      </c>
      <c r="F6" s="1147" t="s">
        <v>235</v>
      </c>
      <c r="G6" s="1144">
        <f>'Keiser INE'!Z46</f>
        <v>460.44285101152246</v>
      </c>
      <c r="H6" s="1147"/>
      <c r="I6" s="1150">
        <f>'Keiser INE'!L31</f>
        <v>1552.7142857142858</v>
      </c>
      <c r="J6" s="1147" t="s">
        <v>235</v>
      </c>
      <c r="K6" s="1144">
        <f>'Keiser INE'!L32</f>
        <v>250.96727162833704</v>
      </c>
      <c r="L6" s="1150">
        <f>'Keiser INE'!L45</f>
        <v>1611.4285714285713</v>
      </c>
      <c r="M6" s="1147" t="s">
        <v>235</v>
      </c>
      <c r="N6" s="1150">
        <f>'Keiser INE'!L46</f>
        <v>309.98917031774749</v>
      </c>
    </row>
    <row r="7" spans="1:14">
      <c r="A7" s="1540" t="s">
        <v>270</v>
      </c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</row>
    <row r="8" spans="1:14">
      <c r="A8" s="1019" t="s">
        <v>268</v>
      </c>
      <c r="B8" s="1080">
        <f>'DXA INE'!D23</f>
        <v>62.982500000000002</v>
      </c>
      <c r="C8" s="1024" t="s">
        <v>235</v>
      </c>
      <c r="D8" s="1082">
        <f>'DXA INE'!D24</f>
        <v>6.0552862580283247</v>
      </c>
      <c r="E8" s="1080">
        <f>'DXA INE'!I23</f>
        <v>61.621000000000009</v>
      </c>
      <c r="F8" s="1024" t="s">
        <v>235</v>
      </c>
      <c r="G8" s="1082">
        <f>'DXA INE'!I24</f>
        <v>6.8916619669472103</v>
      </c>
      <c r="H8" s="1024"/>
      <c r="I8" s="1080">
        <f>'DXA INE'!D11</f>
        <v>63.574166666666677</v>
      </c>
      <c r="J8" s="1024" t="s">
        <v>235</v>
      </c>
      <c r="K8" s="1082">
        <f>'DXA INE'!D12</f>
        <v>6.1097630204997859</v>
      </c>
      <c r="L8" s="1080">
        <f>'DXA INE'!I11</f>
        <v>60.277166666666666</v>
      </c>
      <c r="M8" s="1024" t="s">
        <v>235</v>
      </c>
      <c r="N8" s="1082">
        <f>'DXA INE'!I12</f>
        <v>5.6675428685336531</v>
      </c>
    </row>
    <row r="9" spans="1:14">
      <c r="A9" s="1016" t="s">
        <v>269</v>
      </c>
      <c r="B9" s="1081">
        <f>'DXA INE'!E23</f>
        <v>10.962499999999999</v>
      </c>
      <c r="C9" s="1025" t="s">
        <v>235</v>
      </c>
      <c r="D9" s="1083">
        <f>'DXA INE'!E24</f>
        <v>1.4862564830248397</v>
      </c>
      <c r="E9" s="1081">
        <f>'DXA INE'!J23</f>
        <v>11.6</v>
      </c>
      <c r="F9" s="1025" t="s">
        <v>235</v>
      </c>
      <c r="G9" s="1083">
        <f>'DXA INE'!J24</f>
        <v>1.3638181696985767</v>
      </c>
      <c r="H9" s="1025"/>
      <c r="I9" s="1081">
        <f>'DXA INE'!E11</f>
        <v>12.1</v>
      </c>
      <c r="J9" s="1025" t="s">
        <v>235</v>
      </c>
      <c r="K9" s="1083">
        <f>'DXA INE'!E12</f>
        <v>5.2604182343232013</v>
      </c>
      <c r="L9" s="1081">
        <f>'DXA INE'!J11</f>
        <v>12.583333333333334</v>
      </c>
      <c r="M9" s="1025" t="s">
        <v>235</v>
      </c>
      <c r="N9" s="1083">
        <f>'DXA INE'!J12</f>
        <v>5.9499299715766965</v>
      </c>
    </row>
  </sheetData>
  <mergeCells count="8">
    <mergeCell ref="A7:N7"/>
    <mergeCell ref="A3:N3"/>
    <mergeCell ref="B1:G1"/>
    <mergeCell ref="I1:N1"/>
    <mergeCell ref="B2:D2"/>
    <mergeCell ref="E2:G2"/>
    <mergeCell ref="I2:K2"/>
    <mergeCell ref="L2:N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4"/>
  <sheetViews>
    <sheetView topLeftCell="B1" zoomScale="50" zoomScaleNormal="60" zoomScalePageLayoutView="90" workbookViewId="0">
      <selection activeCell="AL24" sqref="AL24"/>
    </sheetView>
  </sheetViews>
  <sheetFormatPr baseColWidth="10" defaultColWidth="10.83203125" defaultRowHeight="15.5"/>
  <cols>
    <col min="1" max="1" width="20.83203125" style="17" bestFit="1" customWidth="1"/>
    <col min="2" max="2" width="34.5" style="17" bestFit="1" customWidth="1"/>
    <col min="3" max="3" width="9.83203125" style="17" bestFit="1" customWidth="1"/>
    <col min="4" max="4" width="15" style="17" bestFit="1" customWidth="1"/>
    <col min="5" max="5" width="15" style="17" customWidth="1"/>
    <col min="6" max="6" width="18.83203125" style="17" bestFit="1" customWidth="1"/>
    <col min="7" max="7" width="17.83203125" style="17" bestFit="1" customWidth="1"/>
    <col min="8" max="8" width="13" style="17" bestFit="1" customWidth="1"/>
    <col min="9" max="9" width="15.1640625" style="17" bestFit="1" customWidth="1"/>
    <col min="10" max="10" width="13.83203125" style="17" bestFit="1" customWidth="1"/>
    <col min="11" max="11" width="18.83203125" style="17" bestFit="1" customWidth="1"/>
    <col min="12" max="12" width="17.33203125" style="17" bestFit="1" customWidth="1"/>
    <col min="13" max="14" width="13" style="17" bestFit="1" customWidth="1"/>
    <col min="15" max="15" width="13.83203125" style="17" bestFit="1" customWidth="1"/>
    <col min="16" max="16" width="15.83203125" style="17" bestFit="1" customWidth="1"/>
    <col min="17" max="17" width="12.5" style="17" bestFit="1" customWidth="1"/>
    <col min="18" max="18" width="8" style="17" bestFit="1" customWidth="1"/>
    <col min="19" max="19" width="18.6640625" style="17" bestFit="1" customWidth="1"/>
    <col min="20" max="20" width="14.1640625" style="17" bestFit="1" customWidth="1"/>
    <col min="21" max="21" width="15.83203125" style="17" bestFit="1" customWidth="1"/>
    <col min="22" max="22" width="12.5" style="17" bestFit="1" customWidth="1"/>
    <col min="23" max="23" width="8" style="17" bestFit="1" customWidth="1"/>
    <col min="24" max="24" width="18.6640625" style="17" bestFit="1" customWidth="1"/>
    <col min="25" max="25" width="14.1640625" style="17" bestFit="1" customWidth="1"/>
    <col min="26" max="26" width="12.83203125" style="17" bestFit="1" customWidth="1"/>
    <col min="27" max="27" width="12.83203125" style="17" customWidth="1"/>
    <col min="28" max="28" width="18.83203125" style="18" bestFit="1" customWidth="1"/>
    <col min="29" max="29" width="17.83203125" style="45" bestFit="1" customWidth="1"/>
    <col min="30" max="31" width="13" style="45" bestFit="1" customWidth="1"/>
    <col min="32" max="32" width="18.83203125" style="45" bestFit="1" customWidth="1"/>
    <col min="33" max="33" width="17.33203125" style="45" bestFit="1" customWidth="1"/>
    <col min="34" max="35" width="13" style="45" bestFit="1" customWidth="1"/>
    <col min="36" max="36" width="8.33203125" style="45" bestFit="1" customWidth="1"/>
    <col min="37" max="37" width="5.83203125" style="45" bestFit="1" customWidth="1"/>
    <col min="38" max="38" width="15.83203125" style="45" bestFit="1" customWidth="1"/>
    <col min="39" max="39" width="12.5" style="45" bestFit="1" customWidth="1"/>
    <col min="40" max="40" width="8" style="45" bestFit="1" customWidth="1"/>
    <col min="41" max="41" width="18.6640625" style="45" bestFit="1" customWidth="1"/>
    <col min="42" max="42" width="14.1640625" style="45" customWidth="1"/>
    <col min="43" max="43" width="12.83203125" style="17" bestFit="1" customWidth="1"/>
    <col min="44" max="44" width="15" style="17" bestFit="1" customWidth="1"/>
    <col min="45" max="45" width="18.6640625" style="17" bestFit="1" customWidth="1"/>
    <col min="46" max="47" width="14.1640625" style="17" bestFit="1" customWidth="1"/>
    <col min="48" max="50" width="18.6640625" style="17" bestFit="1" customWidth="1"/>
    <col min="51" max="51" width="18.6640625" style="17" customWidth="1"/>
    <col min="52" max="52" width="17.6640625" style="17" bestFit="1" customWidth="1"/>
    <col min="53" max="53" width="11.1640625" style="17" bestFit="1" customWidth="1"/>
    <col min="54" max="54" width="11.1640625" style="17" customWidth="1"/>
    <col min="55" max="55" width="12.5" style="17" bestFit="1" customWidth="1"/>
    <col min="56" max="56" width="18.6640625" style="17" bestFit="1" customWidth="1"/>
    <col min="57" max="57" width="18.83203125" style="17" bestFit="1" customWidth="1"/>
    <col min="58" max="58" width="12" style="17" bestFit="1" customWidth="1"/>
    <col min="59" max="59" width="13" style="17" bestFit="1" customWidth="1"/>
    <col min="60" max="60" width="12.5" style="17" bestFit="1" customWidth="1"/>
    <col min="61" max="61" width="11.1640625" style="17" customWidth="1"/>
    <col min="62" max="64" width="10.83203125" style="17"/>
    <col min="65" max="65" width="14.83203125" style="17" bestFit="1" customWidth="1"/>
    <col min="66" max="66" width="11.6640625" style="17" bestFit="1" customWidth="1"/>
    <col min="67" max="67" width="7.33203125" style="17" bestFit="1" customWidth="1"/>
    <col min="68" max="68" width="17.33203125" style="17" bestFit="1" customWidth="1"/>
    <col min="69" max="69" width="13.5" style="17" bestFit="1" customWidth="1"/>
    <col min="70" max="70" width="11.83203125" style="17" bestFit="1" customWidth="1"/>
    <col min="71" max="16384" width="10.83203125" style="17"/>
  </cols>
  <sheetData>
    <row r="1" spans="1:72">
      <c r="A1" s="29" t="s">
        <v>55</v>
      </c>
    </row>
    <row r="2" spans="1:72" ht="16" thickBot="1">
      <c r="A2" s="29" t="s">
        <v>54</v>
      </c>
    </row>
    <row r="3" spans="1:72" ht="16" customHeight="1" thickBot="1">
      <c r="A3" s="65" t="s">
        <v>53</v>
      </c>
      <c r="B3" s="1358" t="s">
        <v>47</v>
      </c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1359"/>
      <c r="V3" s="1359"/>
      <c r="W3" s="1359"/>
      <c r="X3" s="1359"/>
      <c r="Y3" s="1359"/>
      <c r="Z3" s="1360"/>
      <c r="AA3" s="110"/>
    </row>
    <row r="4" spans="1:72" ht="17" customHeight="1" thickBot="1">
      <c r="A4" s="65" t="s">
        <v>56</v>
      </c>
      <c r="B4" s="1374"/>
      <c r="C4" s="1375"/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  <c r="Q4" s="1375"/>
      <c r="R4" s="1375"/>
      <c r="S4" s="1375"/>
      <c r="T4" s="1375"/>
      <c r="U4" s="1375"/>
      <c r="V4" s="1375"/>
      <c r="W4" s="1375"/>
      <c r="X4" s="1375"/>
      <c r="Y4" s="1375"/>
      <c r="Z4" s="1376"/>
      <c r="AA4" s="110"/>
      <c r="AT4" s="1352" t="s">
        <v>83</v>
      </c>
      <c r="AU4" s="1353"/>
      <c r="AV4" s="1353"/>
      <c r="AW4" s="1353"/>
      <c r="AX4" s="1354"/>
      <c r="AY4" s="46"/>
      <c r="BA4" s="1352" t="s">
        <v>84</v>
      </c>
      <c r="BB4" s="1353"/>
      <c r="BC4" s="1353"/>
      <c r="BD4" s="1353"/>
      <c r="BE4" s="1354"/>
    </row>
    <row r="5" spans="1:72" ht="20.5" thickBot="1">
      <c r="A5" s="45"/>
      <c r="B5" s="78"/>
      <c r="C5" s="77" t="s">
        <v>38</v>
      </c>
      <c r="D5" s="77"/>
      <c r="E5" s="108"/>
      <c r="F5" s="77"/>
      <c r="G5" s="77"/>
      <c r="H5" s="77"/>
      <c r="I5" s="1373" t="s">
        <v>37</v>
      </c>
      <c r="J5" s="1373"/>
      <c r="K5" s="1373"/>
      <c r="L5" s="1373"/>
      <c r="M5" s="1373"/>
      <c r="N5" s="1373"/>
      <c r="O5" s="1373" t="s">
        <v>19</v>
      </c>
      <c r="P5" s="1373"/>
      <c r="Q5" s="1373"/>
      <c r="R5" s="1373"/>
      <c r="S5" s="1373"/>
      <c r="T5" s="1373"/>
      <c r="U5" s="1373"/>
      <c r="V5" s="1373"/>
      <c r="W5" s="1373"/>
      <c r="X5" s="1373"/>
      <c r="Y5" s="1373"/>
      <c r="Z5" s="1380"/>
      <c r="AA5" s="113"/>
      <c r="AD5" s="1370" t="s">
        <v>86</v>
      </c>
      <c r="AE5" s="1371"/>
      <c r="AF5" s="1371"/>
      <c r="AG5" s="1371"/>
      <c r="AH5" s="1371"/>
      <c r="AI5" s="1371"/>
      <c r="AJ5" s="1371"/>
      <c r="AK5" s="1371"/>
      <c r="AL5" s="1371"/>
      <c r="AM5" s="1371"/>
      <c r="AN5" s="1371"/>
      <c r="AO5" s="1371"/>
      <c r="AP5" s="1371"/>
      <c r="AQ5" s="1372"/>
      <c r="AT5" s="1355" t="s">
        <v>82</v>
      </c>
      <c r="AU5" s="1356"/>
      <c r="AV5" s="1356"/>
      <c r="AW5" s="1356"/>
      <c r="AX5" s="1357"/>
      <c r="AY5" s="45"/>
      <c r="BA5" s="1355" t="s">
        <v>82</v>
      </c>
      <c r="BB5" s="1356"/>
      <c r="BC5" s="1356"/>
      <c r="BD5" s="1356"/>
      <c r="BE5" s="1357"/>
    </row>
    <row r="6" spans="1:72" ht="16" thickBot="1">
      <c r="A6" s="45" t="s">
        <v>51</v>
      </c>
      <c r="B6" s="3"/>
      <c r="C6" s="19" t="s">
        <v>49</v>
      </c>
      <c r="D6" s="19" t="s">
        <v>44</v>
      </c>
      <c r="E6" s="19"/>
      <c r="F6" s="19" t="s">
        <v>45</v>
      </c>
      <c r="G6" s="19" t="s">
        <v>46</v>
      </c>
      <c r="H6" s="19" t="s">
        <v>43</v>
      </c>
      <c r="I6" s="45" t="s">
        <v>31</v>
      </c>
      <c r="J6" s="45" t="s">
        <v>32</v>
      </c>
      <c r="K6" s="45" t="s">
        <v>33</v>
      </c>
      <c r="L6" s="45" t="s">
        <v>34</v>
      </c>
      <c r="M6" s="45" t="s">
        <v>35</v>
      </c>
      <c r="N6" s="45" t="s">
        <v>35</v>
      </c>
      <c r="O6" s="45" t="s">
        <v>4</v>
      </c>
      <c r="P6" s="45" t="s">
        <v>5</v>
      </c>
      <c r="Q6" s="1356" t="s">
        <v>39</v>
      </c>
      <c r="R6" s="1356"/>
      <c r="S6" s="45" t="s">
        <v>79</v>
      </c>
      <c r="T6" s="45" t="s">
        <v>40</v>
      </c>
      <c r="U6" s="45" t="s">
        <v>7</v>
      </c>
      <c r="V6" s="45" t="s">
        <v>23</v>
      </c>
      <c r="W6" s="45" t="s">
        <v>17</v>
      </c>
      <c r="X6" s="45" t="s">
        <v>16</v>
      </c>
      <c r="Y6" s="45" t="s">
        <v>22</v>
      </c>
      <c r="Z6" s="4" t="s">
        <v>15</v>
      </c>
      <c r="AA6" s="109"/>
      <c r="AD6" s="45" t="s">
        <v>31</v>
      </c>
      <c r="AE6" s="45" t="s">
        <v>32</v>
      </c>
      <c r="AF6" s="45" t="s">
        <v>33</v>
      </c>
      <c r="AG6" s="45" t="s">
        <v>34</v>
      </c>
      <c r="AH6" s="45" t="s">
        <v>35</v>
      </c>
      <c r="AI6" s="45" t="s">
        <v>35</v>
      </c>
      <c r="AJ6" s="45" t="s">
        <v>79</v>
      </c>
      <c r="AK6" s="45" t="s">
        <v>40</v>
      </c>
      <c r="AL6" s="45" t="s">
        <v>7</v>
      </c>
      <c r="AM6" s="45" t="s">
        <v>23</v>
      </c>
      <c r="AN6" s="45" t="s">
        <v>17</v>
      </c>
      <c r="AO6" s="45" t="s">
        <v>16</v>
      </c>
      <c r="AP6" s="45" t="s">
        <v>22</v>
      </c>
      <c r="AQ6" s="45" t="s">
        <v>15</v>
      </c>
      <c r="AT6" s="6" t="str">
        <f>Y67</f>
        <v>Vekt</v>
      </c>
      <c r="AU6" s="44" t="str">
        <f>Z67</f>
        <v>W@4mmol</v>
      </c>
      <c r="AV6" s="44" t="str">
        <f>AM67</f>
        <v>VO2max 60s</v>
      </c>
      <c r="AW6" s="44" t="s">
        <v>16</v>
      </c>
      <c r="AX6" s="5" t="s">
        <v>15</v>
      </c>
      <c r="AY6" s="45"/>
      <c r="BA6" s="98" t="str">
        <f>AT6</f>
        <v>Vekt</v>
      </c>
      <c r="BB6" s="99" t="s">
        <v>32</v>
      </c>
      <c r="BC6" s="100" t="str">
        <f>AV6</f>
        <v>VO2max 60s</v>
      </c>
      <c r="BD6" s="100" t="s">
        <v>16</v>
      </c>
      <c r="BE6" s="101" t="s">
        <v>15</v>
      </c>
    </row>
    <row r="7" spans="1:72" s="45" customFormat="1" ht="16" thickBot="1">
      <c r="A7" s="45" t="s">
        <v>75</v>
      </c>
      <c r="B7" s="41" t="s">
        <v>48</v>
      </c>
      <c r="C7" s="76"/>
      <c r="D7" s="76"/>
      <c r="E7" s="76"/>
      <c r="F7" s="76"/>
      <c r="G7" s="76"/>
      <c r="H7" s="76"/>
      <c r="I7" s="42" t="s">
        <v>2</v>
      </c>
      <c r="J7" s="42" t="s">
        <v>20</v>
      </c>
      <c r="K7" s="42" t="s">
        <v>36</v>
      </c>
      <c r="L7" s="42" t="s">
        <v>36</v>
      </c>
      <c r="M7" s="42" t="s">
        <v>42</v>
      </c>
      <c r="N7" s="42" t="s">
        <v>20</v>
      </c>
      <c r="O7" s="42" t="s">
        <v>3</v>
      </c>
      <c r="P7" s="42" t="s">
        <v>3</v>
      </c>
      <c r="Q7" s="42" t="s">
        <v>8</v>
      </c>
      <c r="R7" s="42" t="s">
        <v>9</v>
      </c>
      <c r="S7" s="42" t="s">
        <v>10</v>
      </c>
      <c r="T7" s="42" t="s">
        <v>41</v>
      </c>
      <c r="U7" s="42" t="s">
        <v>11</v>
      </c>
      <c r="V7" s="42" t="s">
        <v>0</v>
      </c>
      <c r="W7" s="42" t="s">
        <v>18</v>
      </c>
      <c r="X7" s="42" t="s">
        <v>3</v>
      </c>
      <c r="Y7" s="42" t="s">
        <v>21</v>
      </c>
      <c r="Z7" s="43" t="s">
        <v>1</v>
      </c>
      <c r="AA7" s="109"/>
      <c r="AB7" s="18"/>
      <c r="AD7" s="45" t="s">
        <v>2</v>
      </c>
      <c r="AE7" s="45" t="s">
        <v>20</v>
      </c>
      <c r="AF7" s="45" t="s">
        <v>36</v>
      </c>
      <c r="AG7" s="45" t="s">
        <v>36</v>
      </c>
      <c r="AH7" s="45" t="s">
        <v>42</v>
      </c>
      <c r="AI7" s="45" t="s">
        <v>20</v>
      </c>
      <c r="AJ7" s="45" t="s">
        <v>10</v>
      </c>
      <c r="AK7" s="45" t="s">
        <v>41</v>
      </c>
      <c r="AL7" s="45" t="s">
        <v>11</v>
      </c>
      <c r="AM7" s="45" t="s">
        <v>0</v>
      </c>
      <c r="AN7" s="45" t="s">
        <v>18</v>
      </c>
      <c r="AO7" s="45" t="s">
        <v>3</v>
      </c>
      <c r="AP7" s="45" t="s">
        <v>21</v>
      </c>
      <c r="AQ7" s="45" t="s">
        <v>1</v>
      </c>
      <c r="AS7" s="68" t="s">
        <v>57</v>
      </c>
      <c r="AT7" s="93">
        <f t="shared" ref="AT7:AT15" si="0">(C88-C69)/C69*100</f>
        <v>0.87719298245614397</v>
      </c>
      <c r="AU7" s="88">
        <f t="shared" ref="AU7:AU15" si="1">(D88-D69)/D69*100</f>
        <v>-1.8455173879507367</v>
      </c>
      <c r="AV7" s="87">
        <f t="shared" ref="AV7:AV15" si="2">(Q88-Q69)/Q69*100</f>
        <v>3.4106623768803144</v>
      </c>
      <c r="AW7" s="88">
        <f t="shared" ref="AW7:AW15" si="3">(S88-S69)/S69*100</f>
        <v>-2.6655896607431453</v>
      </c>
      <c r="AX7" s="91">
        <f t="shared" ref="AX7:AX15" si="4">(U88-U69)/U69*100</f>
        <v>2.5114392257770102</v>
      </c>
      <c r="AY7" s="2"/>
      <c r="AZ7" s="68" t="s">
        <v>58</v>
      </c>
      <c r="BA7" s="102">
        <f t="shared" ref="BA7:BB13" si="5">(Y88-Y69)/Y69*100</f>
        <v>1.0810810810810774</v>
      </c>
      <c r="BB7" s="103">
        <f t="shared" si="5"/>
        <v>-4.0268316385787646</v>
      </c>
      <c r="BC7" s="103">
        <f t="shared" ref="BC7:BC13" si="6">(AM88-AM69)/AM69*100</f>
        <v>-1.8722517581087443</v>
      </c>
      <c r="BD7" s="103">
        <f t="shared" ref="BD7:BD13" si="7">(AO88-AO69)/AO69*100</f>
        <v>-2.6501766784452294</v>
      </c>
      <c r="BE7" s="104">
        <f t="shared" ref="BE7:BE13" si="8">(AQ88-AQ69)/AQ69*100</f>
        <v>-2.9217463917118551</v>
      </c>
    </row>
    <row r="8" spans="1:72" s="45" customFormat="1">
      <c r="A8" s="51" t="s">
        <v>60</v>
      </c>
      <c r="B8" s="3" t="s">
        <v>57</v>
      </c>
      <c r="C8" s="45">
        <v>81.3</v>
      </c>
      <c r="D8" s="45">
        <v>14</v>
      </c>
      <c r="E8" s="109"/>
      <c r="F8" s="45">
        <v>24.7</v>
      </c>
      <c r="G8" s="45">
        <v>45.7</v>
      </c>
      <c r="H8" s="45">
        <v>175</v>
      </c>
      <c r="I8" s="2">
        <v>79.8</v>
      </c>
      <c r="J8" s="2">
        <v>384.20658682634729</v>
      </c>
      <c r="K8" s="2">
        <v>88.605714766753664</v>
      </c>
      <c r="L8" s="2">
        <v>91.227381302967828</v>
      </c>
      <c r="M8" s="2">
        <v>3543.2999999999997</v>
      </c>
      <c r="N8" s="2">
        <v>238.55999550174306</v>
      </c>
      <c r="O8" s="45">
        <v>250</v>
      </c>
      <c r="P8" s="45">
        <v>525</v>
      </c>
      <c r="Q8" s="45">
        <v>11</v>
      </c>
      <c r="R8" s="45">
        <v>38</v>
      </c>
      <c r="S8" s="45">
        <v>183</v>
      </c>
      <c r="T8" s="45">
        <v>19</v>
      </c>
      <c r="U8" s="45">
        <v>11.31</v>
      </c>
      <c r="V8" s="2">
        <v>5905.5</v>
      </c>
      <c r="W8" s="2">
        <f>Q8+R8/60</f>
        <v>11.633333333333333</v>
      </c>
      <c r="X8" s="2">
        <f t="shared" ref="X8:X23" si="9">(P8-25)+((R8/60)*25)</f>
        <v>515.83333333333337</v>
      </c>
      <c r="Y8" s="23">
        <f>X8/I8</f>
        <v>6.4640768588137014</v>
      </c>
      <c r="Z8" s="24">
        <f t="shared" ref="Z8:Z23" si="10">V8/I8</f>
        <v>74.003759398496243</v>
      </c>
      <c r="AA8" s="2"/>
      <c r="AB8" s="18"/>
      <c r="AC8" s="68" t="s">
        <v>57</v>
      </c>
      <c r="AD8" s="69">
        <f t="shared" ref="AD8:AD23" si="11">(I36-I8)/I8*100</f>
        <v>0.87719298245614397</v>
      </c>
      <c r="AE8" s="69">
        <f t="shared" ref="AE8:AE23" si="12">(J36-J8)/J8*100</f>
        <v>-1.8455173879507367</v>
      </c>
      <c r="AF8" s="69">
        <f t="shared" ref="AF8:AF23" si="13">(K36-K8)/K8*100</f>
        <v>-4.5526107139943424</v>
      </c>
      <c r="AG8" s="69">
        <f t="shared" ref="AG8:AG23" si="14">(L36-L8)/L8*100</f>
        <v>-0.5877812093618997</v>
      </c>
      <c r="AH8" s="69">
        <f t="shared" ref="AH8:AH23" si="15">(M36-M8)/M8*100</f>
        <v>3.4106623768803197</v>
      </c>
      <c r="AI8" s="69">
        <f t="shared" ref="AI8:AI23" si="16">(N36-N8)/N8*100</f>
        <v>2.7724728790831499</v>
      </c>
      <c r="AJ8" s="69">
        <f t="shared" ref="AJ8:AQ14" si="17">(S36-S8)/S8*100</f>
        <v>2.1857923497267762</v>
      </c>
      <c r="AK8" s="69">
        <f t="shared" si="17"/>
        <v>-5.2631578947368416</v>
      </c>
      <c r="AL8" s="69">
        <f t="shared" si="17"/>
        <v>-7.6923076923077014</v>
      </c>
      <c r="AM8" s="69">
        <f t="shared" si="17"/>
        <v>3.4106623768803144</v>
      </c>
      <c r="AN8" s="69">
        <f t="shared" si="17"/>
        <v>-4.7277936962750626</v>
      </c>
      <c r="AO8" s="69">
        <f t="shared" si="17"/>
        <v>-2.6655896607431453</v>
      </c>
      <c r="AP8" s="69">
        <f t="shared" si="17"/>
        <v>-3.5119758376062529</v>
      </c>
      <c r="AQ8" s="69">
        <f t="shared" si="17"/>
        <v>2.5114392257770102</v>
      </c>
      <c r="AS8" s="68" t="s">
        <v>59</v>
      </c>
      <c r="AT8" s="90">
        <f t="shared" si="0"/>
        <v>-0.69348127600554788</v>
      </c>
      <c r="AU8" s="88">
        <f>(D89-D70)/D70*100</f>
        <v>-11.875171092252954</v>
      </c>
      <c r="AV8" s="88">
        <f t="shared" si="2"/>
        <v>-8.8172830465031016</v>
      </c>
      <c r="AW8" s="88">
        <f t="shared" si="3"/>
        <v>-10</v>
      </c>
      <c r="AX8" s="92">
        <f t="shared" si="4"/>
        <v>-8.1805322297887315</v>
      </c>
      <c r="AY8" s="2"/>
      <c r="AZ8" s="47" t="s">
        <v>63</v>
      </c>
      <c r="BA8" s="93">
        <f t="shared" si="5"/>
        <v>0.27027027027027412</v>
      </c>
      <c r="BB8" s="88">
        <f t="shared" si="5"/>
        <v>-5.8799675587996658</v>
      </c>
      <c r="BC8" s="87">
        <f t="shared" si="6"/>
        <v>3.4100582530753951</v>
      </c>
      <c r="BD8" s="87">
        <f t="shared" si="7"/>
        <v>0.38834951456309791</v>
      </c>
      <c r="BE8" s="91">
        <f t="shared" si="8"/>
        <v>3.1313249424202145</v>
      </c>
    </row>
    <row r="9" spans="1:72" s="45" customFormat="1">
      <c r="A9" s="51" t="s">
        <v>61</v>
      </c>
      <c r="B9" s="3" t="s">
        <v>58</v>
      </c>
      <c r="C9" s="45">
        <v>81.5</v>
      </c>
      <c r="D9" s="45">
        <v>15.5</v>
      </c>
      <c r="E9" s="109"/>
      <c r="F9" s="45">
        <v>23.3</v>
      </c>
      <c r="G9" s="45">
        <v>43</v>
      </c>
      <c r="H9" s="45">
        <v>172.5</v>
      </c>
      <c r="I9" s="2">
        <v>74</v>
      </c>
      <c r="J9" s="2">
        <v>303.85375494071144</v>
      </c>
      <c r="K9" s="2">
        <v>77.75291417108221</v>
      </c>
      <c r="L9" s="2">
        <v>86.637896265225464</v>
      </c>
      <c r="M9" s="2">
        <v>3263.45</v>
      </c>
      <c r="N9" s="2">
        <v>220.97128447547519</v>
      </c>
      <c r="O9" s="45">
        <v>200</v>
      </c>
      <c r="P9" s="45">
        <v>475</v>
      </c>
      <c r="Q9" s="45">
        <v>11</v>
      </c>
      <c r="R9" s="45">
        <v>52</v>
      </c>
      <c r="S9" s="45">
        <v>196</v>
      </c>
      <c r="T9" s="45">
        <v>20</v>
      </c>
      <c r="U9" s="45">
        <v>16.14</v>
      </c>
      <c r="V9" s="2">
        <v>5439.083333333333</v>
      </c>
      <c r="W9" s="2">
        <f t="shared" ref="W9:W23" si="18">Q9+R9/60</f>
        <v>11.866666666666667</v>
      </c>
      <c r="X9" s="2">
        <f t="shared" si="9"/>
        <v>471.66666666666669</v>
      </c>
      <c r="Y9" s="23">
        <f t="shared" ref="Y9:Y23" si="19">X9/I9</f>
        <v>6.3738738738738743</v>
      </c>
      <c r="Z9" s="24">
        <f t="shared" si="10"/>
        <v>73.501126126126124</v>
      </c>
      <c r="AA9" s="2"/>
      <c r="AB9" s="18"/>
      <c r="AC9" s="68" t="s">
        <v>58</v>
      </c>
      <c r="AD9" s="69">
        <f t="shared" si="11"/>
        <v>1.0810810810810774</v>
      </c>
      <c r="AE9" s="69">
        <f t="shared" si="12"/>
        <v>-4.0268316385787646</v>
      </c>
      <c r="AF9" s="69">
        <f t="shared" si="13"/>
        <v>-7.5972158438513376E-2</v>
      </c>
      <c r="AG9" s="69">
        <f t="shared" si="14"/>
        <v>1.1312520054069555</v>
      </c>
      <c r="AH9" s="69">
        <f t="shared" si="15"/>
        <v>-1.8722517581087474</v>
      </c>
      <c r="AI9" s="69">
        <f t="shared" si="16"/>
        <v>-4.0568161924924917</v>
      </c>
      <c r="AJ9" s="69">
        <f t="shared" si="17"/>
        <v>3.0612244897959182</v>
      </c>
      <c r="AK9" s="69">
        <f t="shared" si="17"/>
        <v>0</v>
      </c>
      <c r="AL9" s="69">
        <f t="shared" si="17"/>
        <v>2.1685254027261331</v>
      </c>
      <c r="AM9" s="69">
        <f t="shared" si="17"/>
        <v>-1.8722517581087443</v>
      </c>
      <c r="AN9" s="69">
        <f t="shared" si="17"/>
        <v>-4.213483146067416</v>
      </c>
      <c r="AO9" s="69">
        <f t="shared" si="17"/>
        <v>-2.6501766784452294</v>
      </c>
      <c r="AP9" s="69">
        <f t="shared" si="17"/>
        <v>-3.6913512594244304</v>
      </c>
      <c r="AQ9" s="69">
        <f t="shared" si="17"/>
        <v>-2.9217463917118551</v>
      </c>
      <c r="AS9" s="70" t="s">
        <v>62</v>
      </c>
      <c r="AT9" s="93">
        <f t="shared" si="0"/>
        <v>2.0604395604395602</v>
      </c>
      <c r="AU9" s="87">
        <f t="shared" si="1"/>
        <v>0.50845453470497959</v>
      </c>
      <c r="AV9" s="88">
        <f t="shared" si="2"/>
        <v>-0.18320230514746411</v>
      </c>
      <c r="AW9" s="87">
        <f t="shared" si="3"/>
        <v>2.6970954356846426</v>
      </c>
      <c r="AX9" s="92">
        <f t="shared" si="4"/>
        <v>-2.1983462693773359</v>
      </c>
      <c r="AY9" s="2"/>
      <c r="AZ9" s="48" t="s">
        <v>65</v>
      </c>
      <c r="BA9" s="93">
        <f t="shared" si="5"/>
        <v>2.3837902264600714</v>
      </c>
      <c r="BB9" s="88">
        <f t="shared" si="5"/>
        <v>-5.6422569027611056</v>
      </c>
      <c r="BC9" s="88">
        <f t="shared" si="6"/>
        <v>-1.9573522261582326</v>
      </c>
      <c r="BD9" s="88">
        <f t="shared" si="7"/>
        <v>-0.41666666666666285</v>
      </c>
      <c r="BE9" s="92">
        <f t="shared" si="8"/>
        <v>-4.2400681231044839</v>
      </c>
    </row>
    <row r="10" spans="1:72" s="45" customFormat="1">
      <c r="A10" s="51" t="s">
        <v>60</v>
      </c>
      <c r="B10" s="3" t="s">
        <v>59</v>
      </c>
      <c r="C10" s="45">
        <v>75.3</v>
      </c>
      <c r="D10" s="45">
        <v>12.7</v>
      </c>
      <c r="E10" s="109"/>
      <c r="F10" s="45">
        <v>22.3</v>
      </c>
      <c r="G10" s="45">
        <v>45</v>
      </c>
      <c r="H10" s="45">
        <v>172.5</v>
      </c>
      <c r="I10" s="2">
        <v>72.099999999999994</v>
      </c>
      <c r="J10" s="2">
        <v>355.46875000000006</v>
      </c>
      <c r="K10" s="2">
        <v>88.650613311867517</v>
      </c>
      <c r="L10" s="2">
        <v>83.375</v>
      </c>
      <c r="M10" s="2">
        <v>3413.7499999999995</v>
      </c>
      <c r="N10" s="2">
        <v>222.17361301424819</v>
      </c>
      <c r="O10" s="45">
        <v>250</v>
      </c>
      <c r="P10" s="45">
        <v>525</v>
      </c>
      <c r="Q10" s="45">
        <v>11</v>
      </c>
      <c r="R10" s="45">
        <v>0</v>
      </c>
      <c r="S10" s="45">
        <v>200</v>
      </c>
      <c r="T10" s="45">
        <v>19</v>
      </c>
      <c r="U10" s="45">
        <v>11.69</v>
      </c>
      <c r="V10" s="23">
        <v>5689.583333333333</v>
      </c>
      <c r="W10" s="2">
        <f t="shared" si="18"/>
        <v>11</v>
      </c>
      <c r="X10" s="2">
        <f t="shared" si="9"/>
        <v>500</v>
      </c>
      <c r="Y10" s="23">
        <f t="shared" si="19"/>
        <v>6.934812760055479</v>
      </c>
      <c r="Z10" s="24">
        <f t="shared" si="10"/>
        <v>78.912390198797965</v>
      </c>
      <c r="AA10" s="2"/>
      <c r="AB10" s="18"/>
      <c r="AC10" s="68" t="s">
        <v>59</v>
      </c>
      <c r="AD10" s="69">
        <f t="shared" si="11"/>
        <v>-0.69348127600554788</v>
      </c>
      <c r="AE10" s="69">
        <f t="shared" si="12"/>
        <v>-11.875171092252954</v>
      </c>
      <c r="AF10" s="69">
        <f t="shared" si="13"/>
        <v>-4.7428142489202196</v>
      </c>
      <c r="AG10" s="69">
        <f t="shared" si="14"/>
        <v>3.2828245116698476</v>
      </c>
      <c r="AH10" s="69">
        <f t="shared" si="15"/>
        <v>-8.8172830465031016</v>
      </c>
      <c r="AI10" s="69">
        <f t="shared" si="16"/>
        <v>-6.0853996987547427</v>
      </c>
      <c r="AJ10" s="69">
        <f t="shared" si="17"/>
        <v>-0.5</v>
      </c>
      <c r="AK10" s="69">
        <f t="shared" si="17"/>
        <v>5.2631578947368416</v>
      </c>
      <c r="AL10" s="69">
        <f t="shared" si="17"/>
        <v>-16.509837467921297</v>
      </c>
      <c r="AM10" s="69">
        <f t="shared" si="17"/>
        <v>-8.8172830465031016</v>
      </c>
      <c r="AN10" s="69">
        <f t="shared" si="17"/>
        <v>-18.181818181818183</v>
      </c>
      <c r="AO10" s="69">
        <f t="shared" si="17"/>
        <v>-10</v>
      </c>
      <c r="AP10" s="69">
        <f t="shared" si="17"/>
        <v>-9.3715083798882635</v>
      </c>
      <c r="AQ10" s="69">
        <f t="shared" si="17"/>
        <v>-8.1805322297887315</v>
      </c>
      <c r="AS10" s="70" t="s">
        <v>64</v>
      </c>
      <c r="AT10" s="93">
        <f t="shared" si="0"/>
        <v>1.582278481012658</v>
      </c>
      <c r="AU10" s="88">
        <f>(D91-D72)/D72*100</f>
        <v>-5.4543932957798367</v>
      </c>
      <c r="AV10" s="88">
        <f t="shared" si="2"/>
        <v>-0.46390030074893085</v>
      </c>
      <c r="AW10" s="87">
        <f t="shared" si="3"/>
        <v>2.6195899772209672</v>
      </c>
      <c r="AX10" s="92">
        <f t="shared" si="4"/>
        <v>-2.014306838120449</v>
      </c>
      <c r="AY10" s="2"/>
      <c r="AZ10" s="48" t="s">
        <v>66</v>
      </c>
      <c r="BA10" s="93">
        <f t="shared" si="5"/>
        <v>0.69930069930070926</v>
      </c>
      <c r="BB10" s="87">
        <f t="shared" si="5"/>
        <v>1.4771295658307144</v>
      </c>
      <c r="BC10" s="88">
        <f t="shared" si="6"/>
        <v>-7.0230804204220174</v>
      </c>
      <c r="BD10" s="87">
        <f t="shared" si="7"/>
        <v>0</v>
      </c>
      <c r="BE10" s="92">
        <f t="shared" si="8"/>
        <v>-7.6687534730579836</v>
      </c>
    </row>
    <row r="11" spans="1:72" s="45" customFormat="1">
      <c r="A11" s="51" t="s">
        <v>60</v>
      </c>
      <c r="B11" s="3" t="s">
        <v>62</v>
      </c>
      <c r="E11" s="109"/>
      <c r="I11" s="45">
        <v>72.8</v>
      </c>
      <c r="J11" s="2">
        <v>281.89999999999998</v>
      </c>
      <c r="K11" s="2">
        <v>84.1</v>
      </c>
      <c r="L11" s="2">
        <v>91.4</v>
      </c>
      <c r="M11" s="31">
        <v>2811</v>
      </c>
      <c r="N11" s="31">
        <v>186</v>
      </c>
      <c r="O11" s="45">
        <v>200</v>
      </c>
      <c r="P11" s="45">
        <v>425</v>
      </c>
      <c r="Q11" s="45">
        <v>9</v>
      </c>
      <c r="R11" s="45">
        <v>4</v>
      </c>
      <c r="S11" s="45">
        <v>201</v>
      </c>
      <c r="T11" s="45">
        <v>19</v>
      </c>
      <c r="U11" s="45">
        <v>10.35</v>
      </c>
      <c r="V11" s="23">
        <v>4685.166666666667</v>
      </c>
      <c r="W11" s="2">
        <f t="shared" si="18"/>
        <v>9.0666666666666664</v>
      </c>
      <c r="X11" s="2">
        <f t="shared" si="9"/>
        <v>401.66666666666669</v>
      </c>
      <c r="Y11" s="23">
        <f t="shared" si="19"/>
        <v>5.5173992673992682</v>
      </c>
      <c r="Z11" s="24">
        <f t="shared" si="10"/>
        <v>64.356684981684992</v>
      </c>
      <c r="AA11" s="2"/>
      <c r="AB11" s="18"/>
      <c r="AC11" s="70" t="s">
        <v>62</v>
      </c>
      <c r="AD11" s="71">
        <f t="shared" si="11"/>
        <v>2.0604395604395602</v>
      </c>
      <c r="AE11" s="71">
        <f t="shared" si="12"/>
        <v>0.50845453470497959</v>
      </c>
      <c r="AF11" s="71">
        <f t="shared" si="13"/>
        <v>-3.395334747120033</v>
      </c>
      <c r="AG11" s="71">
        <f t="shared" si="14"/>
        <v>-0.42333490653739192</v>
      </c>
      <c r="AH11" s="71">
        <f t="shared" si="15"/>
        <v>-0.17965136961935901</v>
      </c>
      <c r="AI11" s="71">
        <f t="shared" si="16"/>
        <v>5.7264123529974951</v>
      </c>
      <c r="AJ11" s="71">
        <f t="shared" si="17"/>
        <v>1.4925373134328357</v>
      </c>
      <c r="AK11" s="71">
        <f t="shared" si="17"/>
        <v>0</v>
      </c>
      <c r="AL11" s="71">
        <f t="shared" si="17"/>
        <v>-2.3188405797101472</v>
      </c>
      <c r="AM11" s="71">
        <f t="shared" si="17"/>
        <v>-0.18320230514746411</v>
      </c>
      <c r="AN11" s="71">
        <f t="shared" si="17"/>
        <v>4.7794117647058849</v>
      </c>
      <c r="AO11" s="71">
        <f t="shared" si="17"/>
        <v>2.6970954356846426</v>
      </c>
      <c r="AP11" s="71">
        <f t="shared" si="17"/>
        <v>0.62380279566408348</v>
      </c>
      <c r="AQ11" s="71">
        <f t="shared" si="17"/>
        <v>-2.1983462693773359</v>
      </c>
      <c r="AS11" s="72" t="s">
        <v>67</v>
      </c>
      <c r="AT11" s="93">
        <f t="shared" si="0"/>
        <v>0.27063599458726467</v>
      </c>
      <c r="AU11" s="88">
        <f t="shared" si="1"/>
        <v>-5.2438636273222583</v>
      </c>
      <c r="AV11" s="88">
        <f t="shared" si="2"/>
        <v>-2.3893978958808222</v>
      </c>
      <c r="AW11" s="88">
        <f t="shared" si="3"/>
        <v>-5.8823529411764701</v>
      </c>
      <c r="AX11" s="92">
        <f t="shared" si="4"/>
        <v>-2.6528543118163399</v>
      </c>
      <c r="AY11" s="2"/>
      <c r="AZ11" s="49" t="s">
        <v>69</v>
      </c>
      <c r="BA11" s="90">
        <f t="shared" si="5"/>
        <v>-0.70422535211267612</v>
      </c>
      <c r="BB11" s="88">
        <f t="shared" si="5"/>
        <v>-6.9850566944506935</v>
      </c>
      <c r="BC11" s="88">
        <f t="shared" si="6"/>
        <v>-1.0503316426063116</v>
      </c>
      <c r="BD11" s="87">
        <f t="shared" si="7"/>
        <v>8.8235294117647065</v>
      </c>
      <c r="BE11" s="92">
        <f t="shared" si="8"/>
        <v>-0.34856094503613622</v>
      </c>
      <c r="BS11" s="16"/>
    </row>
    <row r="12" spans="1:72" s="45" customFormat="1">
      <c r="A12" s="51" t="s">
        <v>61</v>
      </c>
      <c r="B12" s="3" t="s">
        <v>63</v>
      </c>
      <c r="E12" s="109"/>
      <c r="I12" s="2">
        <v>74</v>
      </c>
      <c r="J12" s="2">
        <v>311.36363636363632</v>
      </c>
      <c r="K12" s="2">
        <v>86.043034541640822</v>
      </c>
      <c r="L12" s="2">
        <v>90.716690716690735</v>
      </c>
      <c r="M12" s="2">
        <v>2995.5499999999997</v>
      </c>
      <c r="N12" s="2">
        <v>196.94959790765313</v>
      </c>
      <c r="O12" s="45">
        <v>200</v>
      </c>
      <c r="P12" s="45">
        <v>450</v>
      </c>
      <c r="Q12" s="45">
        <v>10</v>
      </c>
      <c r="R12" s="45">
        <v>10</v>
      </c>
      <c r="S12" s="45">
        <v>189</v>
      </c>
      <c r="T12" s="45">
        <v>19</v>
      </c>
      <c r="U12" s="45">
        <v>10.35</v>
      </c>
      <c r="V12" s="23">
        <v>4992.583333333333</v>
      </c>
      <c r="W12" s="2">
        <f t="shared" si="18"/>
        <v>10.166666666666666</v>
      </c>
      <c r="X12" s="2">
        <f t="shared" si="9"/>
        <v>429.16666666666669</v>
      </c>
      <c r="Y12" s="23">
        <f t="shared" si="19"/>
        <v>5.7995495495495497</v>
      </c>
      <c r="Z12" s="24">
        <f t="shared" si="10"/>
        <v>67.467342342342334</v>
      </c>
      <c r="AA12" s="2"/>
      <c r="AB12" s="18"/>
      <c r="AC12" s="70" t="s">
        <v>63</v>
      </c>
      <c r="AD12" s="71">
        <f t="shared" si="11"/>
        <v>0.27027027027027412</v>
      </c>
      <c r="AE12" s="71">
        <f t="shared" si="12"/>
        <v>-5.8799675587996658</v>
      </c>
      <c r="AF12" s="71">
        <f t="shared" si="13"/>
        <v>-6.2330082470210488</v>
      </c>
      <c r="AG12" s="71">
        <f t="shared" si="14"/>
        <v>-0.53117928086500632</v>
      </c>
      <c r="AH12" s="71">
        <f t="shared" si="15"/>
        <v>3.4100582530753987</v>
      </c>
      <c r="AI12" s="71">
        <f t="shared" si="16"/>
        <v>4.5614898648938151</v>
      </c>
      <c r="AJ12" s="71">
        <f t="shared" si="17"/>
        <v>2.6455026455026456</v>
      </c>
      <c r="AK12" s="71">
        <f t="shared" si="17"/>
        <v>0</v>
      </c>
      <c r="AL12" s="71">
        <f t="shared" si="17"/>
        <v>18.743961352657003</v>
      </c>
      <c r="AM12" s="71">
        <f t="shared" si="17"/>
        <v>3.4100582530753951</v>
      </c>
      <c r="AN12" s="71">
        <f t="shared" si="17"/>
        <v>0.65573770491803052</v>
      </c>
      <c r="AO12" s="71">
        <f t="shared" si="17"/>
        <v>0.38834951456309791</v>
      </c>
      <c r="AP12" s="71">
        <f t="shared" si="17"/>
        <v>0.11776097139716403</v>
      </c>
      <c r="AQ12" s="71">
        <f t="shared" si="17"/>
        <v>3.1313249424202145</v>
      </c>
      <c r="AS12" s="72" t="s">
        <v>68</v>
      </c>
      <c r="AT12" s="93">
        <f t="shared" si="0"/>
        <v>0.65703022339027606</v>
      </c>
      <c r="AU12" s="87">
        <f t="shared" si="1"/>
        <v>5.2012179668296996</v>
      </c>
      <c r="AV12" s="88">
        <f t="shared" si="2"/>
        <v>-0.7360621491056214</v>
      </c>
      <c r="AW12" s="87">
        <f t="shared" si="3"/>
        <v>2.9411764705882351</v>
      </c>
      <c r="AX12" s="92">
        <f t="shared" si="4"/>
        <v>-1.3839990802472404</v>
      </c>
      <c r="AY12" s="2"/>
      <c r="AZ12" s="49" t="s">
        <v>70</v>
      </c>
      <c r="BA12" s="93">
        <f t="shared" si="5"/>
        <v>1.4754098360655714</v>
      </c>
      <c r="BB12" s="87">
        <f t="shared" si="5"/>
        <v>2.3466846747984702</v>
      </c>
      <c r="BC12" s="87">
        <f t="shared" si="6"/>
        <v>6.9528403226825795</v>
      </c>
      <c r="BD12" s="87">
        <f t="shared" si="7"/>
        <v>12.345679012345686</v>
      </c>
      <c r="BE12" s="91">
        <f t="shared" si="8"/>
        <v>5.3977909480393889</v>
      </c>
      <c r="BS12" s="16"/>
    </row>
    <row r="13" spans="1:72" s="45" customFormat="1" ht="25.5" thickBot="1">
      <c r="A13" s="51" t="s">
        <v>60</v>
      </c>
      <c r="B13" s="3" t="s">
        <v>64</v>
      </c>
      <c r="E13" s="109"/>
      <c r="I13" s="2">
        <v>63.2</v>
      </c>
      <c r="J13" s="2">
        <v>249.71751412429379</v>
      </c>
      <c r="K13" s="2">
        <v>81.880651952502532</v>
      </c>
      <c r="L13" s="2">
        <v>84.207627118644083</v>
      </c>
      <c r="M13" s="2">
        <v>2543.65</v>
      </c>
      <c r="N13" s="2">
        <v>165.54219600725955</v>
      </c>
      <c r="O13" s="45">
        <v>200</v>
      </c>
      <c r="P13" s="45">
        <v>375</v>
      </c>
      <c r="Q13" s="45">
        <v>7</v>
      </c>
      <c r="R13" s="45">
        <v>38</v>
      </c>
      <c r="S13" s="45">
        <v>200</v>
      </c>
      <c r="T13" s="45">
        <v>19</v>
      </c>
      <c r="U13" s="45">
        <v>12.61</v>
      </c>
      <c r="V13" s="23">
        <v>4239.416666666667</v>
      </c>
      <c r="W13" s="2">
        <f t="shared" si="18"/>
        <v>7.6333333333333329</v>
      </c>
      <c r="X13" s="2">
        <f t="shared" si="9"/>
        <v>365.83333333333331</v>
      </c>
      <c r="Y13" s="23">
        <f t="shared" si="19"/>
        <v>5.7885021097046412</v>
      </c>
      <c r="Z13" s="24">
        <f t="shared" si="10"/>
        <v>67.079377637130804</v>
      </c>
      <c r="AA13" s="2"/>
      <c r="AB13" s="18"/>
      <c r="AC13" s="70" t="s">
        <v>64</v>
      </c>
      <c r="AD13" s="71">
        <f t="shared" si="11"/>
        <v>1.582278481012658</v>
      </c>
      <c r="AE13" s="71">
        <f t="shared" si="12"/>
        <v>-5.4543932957798367</v>
      </c>
      <c r="AF13" s="71">
        <f t="shared" si="13"/>
        <v>-2.2707175042569689</v>
      </c>
      <c r="AG13" s="71">
        <f t="shared" si="14"/>
        <v>3.246379817966516</v>
      </c>
      <c r="AH13" s="71">
        <f t="shared" si="15"/>
        <v>-0.46390030074893096</v>
      </c>
      <c r="AI13" s="71">
        <f t="shared" si="16"/>
        <v>2.1500269916126706</v>
      </c>
      <c r="AJ13" s="71">
        <f t="shared" si="17"/>
        <v>0</v>
      </c>
      <c r="AK13" s="71">
        <f t="shared" si="17"/>
        <v>5.2631578947368416</v>
      </c>
      <c r="AL13" s="71">
        <f t="shared" si="17"/>
        <v>15.781126090404443</v>
      </c>
      <c r="AM13" s="71">
        <f t="shared" si="17"/>
        <v>-0.46390030074893085</v>
      </c>
      <c r="AN13" s="71">
        <f t="shared" si="17"/>
        <v>5.0218340611353884</v>
      </c>
      <c r="AO13" s="71">
        <f t="shared" si="17"/>
        <v>2.6195899772209672</v>
      </c>
      <c r="AP13" s="71">
        <f t="shared" si="17"/>
        <v>1.0211539962673635</v>
      </c>
      <c r="AQ13" s="71">
        <f t="shared" si="17"/>
        <v>-2.014306838120449</v>
      </c>
      <c r="AR13" s="27"/>
      <c r="AS13" s="74" t="s">
        <v>71</v>
      </c>
      <c r="AT13" s="93">
        <f t="shared" si="0"/>
        <v>1.1523687580025681</v>
      </c>
      <c r="AU13" s="88">
        <f t="shared" si="1"/>
        <v>-2.5956147376852106</v>
      </c>
      <c r="AV13" s="87">
        <f t="shared" si="2"/>
        <v>4.1305775304086696</v>
      </c>
      <c r="AW13" s="87">
        <f t="shared" si="3"/>
        <v>0</v>
      </c>
      <c r="AX13" s="91">
        <f t="shared" si="4"/>
        <v>2.9442798117078115</v>
      </c>
      <c r="AY13" s="2"/>
      <c r="AZ13" s="49" t="s">
        <v>74</v>
      </c>
      <c r="BA13" s="94">
        <f t="shared" si="5"/>
        <v>-0.15243902439023527</v>
      </c>
      <c r="BB13" s="95">
        <f t="shared" si="5"/>
        <v>-5.4661311914323969</v>
      </c>
      <c r="BC13" s="95">
        <f t="shared" si="6"/>
        <v>-10.837479827864453</v>
      </c>
      <c r="BD13" s="95">
        <f t="shared" si="7"/>
        <v>-6.0606060606060606</v>
      </c>
      <c r="BE13" s="105">
        <f t="shared" si="8"/>
        <v>-10.701353842868828</v>
      </c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</row>
    <row r="14" spans="1:72" s="45" customFormat="1" ht="25">
      <c r="A14" s="51" t="s">
        <v>61</v>
      </c>
      <c r="B14" s="3" t="s">
        <v>65</v>
      </c>
      <c r="E14" s="109"/>
      <c r="I14" s="2">
        <v>83.9</v>
      </c>
      <c r="J14" s="2">
        <v>425</v>
      </c>
      <c r="K14" s="2">
        <v>76.2</v>
      </c>
      <c r="L14" s="2">
        <v>91.2</v>
      </c>
      <c r="M14" s="2">
        <v>3599</v>
      </c>
      <c r="N14" s="2">
        <v>285</v>
      </c>
      <c r="O14" s="45">
        <v>250</v>
      </c>
      <c r="P14" s="45">
        <v>525</v>
      </c>
      <c r="Q14" s="45">
        <v>12</v>
      </c>
      <c r="R14" s="45">
        <v>0</v>
      </c>
      <c r="S14" s="45">
        <v>193</v>
      </c>
      <c r="T14" s="45">
        <v>19</v>
      </c>
      <c r="U14" s="45">
        <v>8.82</v>
      </c>
      <c r="V14" s="23">
        <v>5998.75</v>
      </c>
      <c r="W14" s="2">
        <f t="shared" si="18"/>
        <v>12</v>
      </c>
      <c r="X14" s="2">
        <f t="shared" si="9"/>
        <v>500</v>
      </c>
      <c r="Y14" s="23">
        <f t="shared" si="19"/>
        <v>5.9594755661501786</v>
      </c>
      <c r="Z14" s="24">
        <f t="shared" si="10"/>
        <v>71.498808104886763</v>
      </c>
      <c r="AA14" s="2"/>
      <c r="AB14" s="18"/>
      <c r="AC14" s="72" t="s">
        <v>65</v>
      </c>
      <c r="AD14" s="73">
        <f t="shared" si="11"/>
        <v>2.3837902264600714</v>
      </c>
      <c r="AE14" s="73">
        <f t="shared" si="12"/>
        <v>-5.6422569027611056</v>
      </c>
      <c r="AF14" s="73">
        <f t="shared" si="13"/>
        <v>14.141910733491031</v>
      </c>
      <c r="AG14" s="73">
        <f t="shared" si="14"/>
        <v>-0.18880472832710088</v>
      </c>
      <c r="AH14" s="73">
        <f t="shared" si="15"/>
        <v>-1.9505418171714441</v>
      </c>
      <c r="AI14" s="73">
        <f t="shared" si="16"/>
        <v>-12.197118141413615</v>
      </c>
      <c r="AJ14" s="73">
        <f t="shared" si="17"/>
        <v>0</v>
      </c>
      <c r="AK14" s="73">
        <f t="shared" si="17"/>
        <v>-5.2631578947368416</v>
      </c>
      <c r="AL14" s="73">
        <f t="shared" si="17"/>
        <v>-13.492063492063497</v>
      </c>
      <c r="AM14" s="73">
        <f t="shared" si="17"/>
        <v>-1.9573522261582326</v>
      </c>
      <c r="AN14" s="73">
        <f t="shared" si="17"/>
        <v>-9.0277777777777839</v>
      </c>
      <c r="AO14" s="73">
        <f t="shared" si="17"/>
        <v>-0.41666666666666285</v>
      </c>
      <c r="AP14" s="73">
        <f t="shared" si="17"/>
        <v>-2.7352541715172736</v>
      </c>
      <c r="AQ14" s="73">
        <f t="shared" si="17"/>
        <v>-4.2400681231044839</v>
      </c>
      <c r="AR14" s="27"/>
      <c r="AS14" s="74" t="s">
        <v>72</v>
      </c>
      <c r="AT14" s="93">
        <f t="shared" si="0"/>
        <v>1.551480959097312</v>
      </c>
      <c r="AU14" s="88">
        <f t="shared" si="1"/>
        <v>-1.4898620401337772</v>
      </c>
      <c r="AV14" s="87">
        <f t="shared" si="2"/>
        <v>3.3276674785778102</v>
      </c>
      <c r="AW14" s="87">
        <f t="shared" si="3"/>
        <v>8.8235294117647065</v>
      </c>
      <c r="AX14" s="91">
        <f t="shared" si="4"/>
        <v>1.7490503365439842</v>
      </c>
      <c r="AY14" s="2"/>
      <c r="AZ14" s="17"/>
      <c r="BD14" s="2"/>
      <c r="BE14" s="2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s="45" customFormat="1" ht="16" thickBot="1">
      <c r="A15" s="52" t="s">
        <v>61</v>
      </c>
      <c r="B15" s="3" t="s">
        <v>66</v>
      </c>
      <c r="E15" s="109"/>
      <c r="I15" s="2">
        <v>85.8</v>
      </c>
      <c r="J15" s="2">
        <v>369.921875</v>
      </c>
      <c r="K15" s="2">
        <v>78.422659581240779</v>
      </c>
      <c r="L15" s="2">
        <v>87.885167464114815</v>
      </c>
      <c r="M15" s="2">
        <v>3739.0999999999995</v>
      </c>
      <c r="N15" s="2">
        <v>264.23607497832023</v>
      </c>
      <c r="O15" s="56">
        <v>200</v>
      </c>
      <c r="P15" s="45">
        <v>525</v>
      </c>
      <c r="Q15" s="45">
        <v>13</v>
      </c>
      <c r="R15" s="45">
        <v>0</v>
      </c>
      <c r="S15" s="45">
        <v>190</v>
      </c>
      <c r="T15" s="45">
        <v>20</v>
      </c>
      <c r="U15" s="45">
        <v>12.38</v>
      </c>
      <c r="V15" s="23">
        <v>6231.833333333333</v>
      </c>
      <c r="W15" s="2">
        <f t="shared" si="18"/>
        <v>13</v>
      </c>
      <c r="X15" s="2">
        <f t="shared" si="9"/>
        <v>500</v>
      </c>
      <c r="Y15" s="23">
        <f t="shared" si="19"/>
        <v>5.8275058275058278</v>
      </c>
      <c r="Z15" s="24">
        <f t="shared" si="10"/>
        <v>72.632090132090127</v>
      </c>
      <c r="AA15" s="2"/>
      <c r="AB15" s="18"/>
      <c r="AC15" s="72" t="s">
        <v>66</v>
      </c>
      <c r="AD15" s="73">
        <f t="shared" si="11"/>
        <v>0.69930069930070926</v>
      </c>
      <c r="AE15" s="73">
        <f t="shared" si="12"/>
        <v>1.4771295658307144</v>
      </c>
      <c r="AF15" s="73">
        <f t="shared" si="13"/>
        <v>17.191313717785057</v>
      </c>
      <c r="AG15" s="73">
        <f t="shared" si="14"/>
        <v>2.8980725447727109</v>
      </c>
      <c r="AH15" s="73">
        <f t="shared" si="15"/>
        <v>-7.0230804204220139</v>
      </c>
      <c r="AI15" s="73">
        <f t="shared" si="16"/>
        <v>-11.175779993368</v>
      </c>
      <c r="AJ15" s="73">
        <f t="shared" ref="AJ15:AJ23" si="20">(S43-S15)/S15*100</f>
        <v>-1.5789473684210527</v>
      </c>
      <c r="AK15" s="73">
        <f t="shared" ref="AK15:AK23" si="21">(T43-T15)/T15*100</f>
        <v>-10</v>
      </c>
      <c r="AL15" s="73"/>
      <c r="AM15" s="73">
        <f t="shared" ref="AM15:AM23" si="22">(V43-V15)/V15*100</f>
        <v>-7.0230804204220174</v>
      </c>
      <c r="AN15" s="73">
        <f t="shared" ref="AN15:AN23" si="23">(W43-W15)/W15*100</f>
        <v>-15.384615384615385</v>
      </c>
      <c r="AO15" s="73">
        <f t="shared" ref="AO15:AO23" si="24">(X43-X15)/X15*100</f>
        <v>0</v>
      </c>
      <c r="AP15" s="73">
        <f t="shared" ref="AP15:AP23" si="25">(Y43-Y15)/Y15*100</f>
        <v>-0.69444444444446185</v>
      </c>
      <c r="AQ15" s="73">
        <f t="shared" ref="AQ15:AQ23" si="26">(Z43-Z15)/Z15*100</f>
        <v>-7.6687534730579836</v>
      </c>
      <c r="AS15" s="74" t="s">
        <v>73</v>
      </c>
      <c r="AT15" s="94">
        <f t="shared" si="0"/>
        <v>-0.70126227208976166</v>
      </c>
      <c r="AU15" s="95">
        <f t="shared" si="1"/>
        <v>-13.453615283120927</v>
      </c>
      <c r="AV15" s="96">
        <f t="shared" si="2"/>
        <v>4.2856409642264568</v>
      </c>
      <c r="AW15" s="96">
        <f t="shared" si="3"/>
        <v>0</v>
      </c>
      <c r="AX15" s="97">
        <f t="shared" si="4"/>
        <v>5.0221214795105373</v>
      </c>
      <c r="AY15" s="2"/>
      <c r="AZ15" s="17"/>
      <c r="BD15" s="2"/>
      <c r="BE15" s="2"/>
      <c r="BK15" s="66"/>
      <c r="BL15" s="66"/>
    </row>
    <row r="16" spans="1:72" s="45" customFormat="1">
      <c r="A16" s="52" t="s">
        <v>60</v>
      </c>
      <c r="B16" s="3" t="s">
        <v>67</v>
      </c>
      <c r="E16" s="109"/>
      <c r="I16" s="2">
        <v>73.900000000000006</v>
      </c>
      <c r="J16" s="2">
        <v>347.24409448818892</v>
      </c>
      <c r="K16" s="2">
        <v>91.109573324908439</v>
      </c>
      <c r="L16" s="2">
        <v>89.408637064696805</v>
      </c>
      <c r="M16" s="2">
        <v>3312.55</v>
      </c>
      <c r="N16" s="2">
        <v>229.08049415213426</v>
      </c>
      <c r="O16" s="45">
        <v>200</v>
      </c>
      <c r="P16" s="45">
        <v>450</v>
      </c>
      <c r="Q16" s="45">
        <v>10</v>
      </c>
      <c r="R16" s="45">
        <v>0</v>
      </c>
      <c r="S16" s="45">
        <v>194</v>
      </c>
      <c r="T16" s="45">
        <v>20</v>
      </c>
      <c r="U16" s="45">
        <v>9.56</v>
      </c>
      <c r="V16" s="23">
        <v>5520.916666666667</v>
      </c>
      <c r="W16" s="2">
        <f t="shared" si="18"/>
        <v>10</v>
      </c>
      <c r="X16" s="2">
        <f t="shared" si="9"/>
        <v>425</v>
      </c>
      <c r="Y16" s="23">
        <f t="shared" si="19"/>
        <v>5.7510148849797016</v>
      </c>
      <c r="Z16" s="24">
        <f t="shared" si="10"/>
        <v>74.707938655841218</v>
      </c>
      <c r="AA16" s="2"/>
      <c r="AB16" s="18"/>
      <c r="AC16" s="72" t="s">
        <v>67</v>
      </c>
      <c r="AD16" s="73">
        <f t="shared" si="11"/>
        <v>0.27063599458726467</v>
      </c>
      <c r="AE16" s="73">
        <f t="shared" si="12"/>
        <v>-5.2438636273222583</v>
      </c>
      <c r="AF16" s="73">
        <f t="shared" si="13"/>
        <v>-7.0868938484437125</v>
      </c>
      <c r="AG16" s="73">
        <f t="shared" si="14"/>
        <v>-1.3396407413526974</v>
      </c>
      <c r="AH16" s="73">
        <f t="shared" si="15"/>
        <v>-2.3893978958808195</v>
      </c>
      <c r="AI16" s="73">
        <f t="shared" si="16"/>
        <v>-1.62594499245673</v>
      </c>
      <c r="AJ16" s="73">
        <f t="shared" si="20"/>
        <v>1.5463917525773196</v>
      </c>
      <c r="AK16" s="73">
        <f t="shared" si="21"/>
        <v>0</v>
      </c>
      <c r="AL16" s="73">
        <f t="shared" ref="AL16:AL23" si="27">(U44-U16)/U16*100</f>
        <v>-13.80753138075314</v>
      </c>
      <c r="AM16" s="73">
        <f t="shared" si="22"/>
        <v>-2.3893978958808222</v>
      </c>
      <c r="AN16" s="73">
        <f t="shared" si="23"/>
        <v>-10</v>
      </c>
      <c r="AO16" s="73">
        <f t="shared" si="24"/>
        <v>-5.8823529411764701</v>
      </c>
      <c r="AP16" s="73">
        <f t="shared" si="25"/>
        <v>-6.1363816781773268</v>
      </c>
      <c r="AQ16" s="73">
        <f t="shared" si="26"/>
        <v>-2.6528543118163399</v>
      </c>
      <c r="AS16" s="16" t="s">
        <v>12</v>
      </c>
      <c r="AT16" s="26">
        <f>AVERAGE(AT7:AT15)</f>
        <v>0.75074260121005254</v>
      </c>
      <c r="AU16" s="26">
        <f>AVERAGE(AU7:AU15)</f>
        <v>-4.0275961069678914</v>
      </c>
      <c r="AV16" s="26">
        <f>AVERAGE(AV7:AV15)</f>
        <v>0.28496696141192346</v>
      </c>
      <c r="AW16" s="26">
        <f>AVERAGE(AW7:AW15)</f>
        <v>-0.16295014518456263</v>
      </c>
      <c r="AX16" s="26">
        <f t="shared" ref="AX16" si="28">AVERAGE(AX8:AX14)</f>
        <v>-1.676672654442614</v>
      </c>
      <c r="AY16" s="26"/>
      <c r="AZ16" s="16" t="s">
        <v>12</v>
      </c>
      <c r="BA16" s="26">
        <f>AVERAGE(BA7:BA13)</f>
        <v>0.72188396238211328</v>
      </c>
      <c r="BB16" s="26">
        <f t="shared" ref="BB16:BD16" si="29">AVERAGE(BB7:BB13)</f>
        <v>-3.4537756779133484</v>
      </c>
      <c r="BC16" s="26">
        <f t="shared" si="29"/>
        <v>-1.7682281856288262</v>
      </c>
      <c r="BD16" s="26">
        <f t="shared" si="29"/>
        <v>1.7757297904222198</v>
      </c>
      <c r="BE16" s="26">
        <f>AVERAGE(BE7:BE13)</f>
        <v>-2.4787666979028118</v>
      </c>
    </row>
    <row r="17" spans="1:72" s="45" customFormat="1">
      <c r="A17" s="51" t="s">
        <v>60</v>
      </c>
      <c r="B17" s="3" t="s">
        <v>68</v>
      </c>
      <c r="E17" s="109"/>
      <c r="I17" s="2">
        <v>76.099999999999994</v>
      </c>
      <c r="J17" s="2">
        <v>310.51020408163265</v>
      </c>
      <c r="K17" s="2">
        <v>84.803529490101184</v>
      </c>
      <c r="L17" s="2">
        <v>86.181632653061229</v>
      </c>
      <c r="M17" s="2">
        <v>3063.6</v>
      </c>
      <c r="N17" s="2">
        <v>207.58760171309365</v>
      </c>
      <c r="O17" s="45">
        <v>200</v>
      </c>
      <c r="P17" s="45">
        <v>450</v>
      </c>
      <c r="Q17" s="45">
        <v>10</v>
      </c>
      <c r="R17" s="45">
        <v>0</v>
      </c>
      <c r="S17" s="45">
        <v>200</v>
      </c>
      <c r="T17" s="45">
        <v>19</v>
      </c>
      <c r="U17" s="45">
        <v>12.85</v>
      </c>
      <c r="V17" s="23">
        <v>5106</v>
      </c>
      <c r="W17" s="2">
        <f t="shared" si="18"/>
        <v>10</v>
      </c>
      <c r="X17" s="2">
        <f t="shared" si="9"/>
        <v>425</v>
      </c>
      <c r="Y17" s="23">
        <f t="shared" si="19"/>
        <v>5.5847568988173464</v>
      </c>
      <c r="Z17" s="24">
        <f t="shared" si="10"/>
        <v>67.095926412614986</v>
      </c>
      <c r="AA17" s="2"/>
      <c r="AB17" s="18"/>
      <c r="AC17" s="72" t="s">
        <v>68</v>
      </c>
      <c r="AD17" s="73">
        <f t="shared" si="11"/>
        <v>0.65703022339027606</v>
      </c>
      <c r="AE17" s="73">
        <f t="shared" si="12"/>
        <v>5.2012179668296996</v>
      </c>
      <c r="AF17" s="73">
        <f t="shared" si="13"/>
        <v>6.7714708826094077</v>
      </c>
      <c r="AG17" s="73">
        <f t="shared" si="14"/>
        <v>3.7849917260520254</v>
      </c>
      <c r="AH17" s="73">
        <f t="shared" si="15"/>
        <v>-0.73606214910561851</v>
      </c>
      <c r="AI17" s="73">
        <f t="shared" si="16"/>
        <v>-0.65520740854400084</v>
      </c>
      <c r="AJ17" s="73">
        <f t="shared" si="20"/>
        <v>2</v>
      </c>
      <c r="AK17" s="73">
        <f t="shared" si="21"/>
        <v>-5.2631578947368416</v>
      </c>
      <c r="AL17" s="73">
        <f t="shared" si="27"/>
        <v>-20.389105058365754</v>
      </c>
      <c r="AM17" s="73">
        <f t="shared" si="22"/>
        <v>-0.7360621491056214</v>
      </c>
      <c r="AN17" s="73">
        <f t="shared" si="23"/>
        <v>5</v>
      </c>
      <c r="AO17" s="73">
        <f t="shared" si="24"/>
        <v>2.9411764705882351</v>
      </c>
      <c r="AP17" s="73">
        <f t="shared" si="25"/>
        <v>2.2692366763937937</v>
      </c>
      <c r="AQ17" s="73">
        <f t="shared" si="26"/>
        <v>-1.3839990802472404</v>
      </c>
      <c r="AS17" s="16" t="s">
        <v>13</v>
      </c>
      <c r="AT17" s="26">
        <f>STDEVA(AT7:AT15)</f>
        <v>0.97843103704533396</v>
      </c>
      <c r="AU17" s="26">
        <f>STDEVA(AU7:AU15)</f>
        <v>5.8411067504628695</v>
      </c>
      <c r="AV17" s="26">
        <f>STDEVA(AV7:AV15)</f>
        <v>4.2078465257204316</v>
      </c>
      <c r="AW17" s="26">
        <f>STDEVA(AW7:AW15)</f>
        <v>5.5012525319813914</v>
      </c>
      <c r="AX17" s="26">
        <f t="shared" ref="AX17" si="30">STDEVA(AX8:AX14)</f>
        <v>3.5780278025039927</v>
      </c>
      <c r="AY17" s="26"/>
      <c r="AZ17" s="16" t="s">
        <v>13</v>
      </c>
      <c r="BA17" s="26">
        <f>STDEVA(BA7:BA13)</f>
        <v>1.0377419104105494</v>
      </c>
      <c r="BB17" s="26">
        <f t="shared" ref="BB17:BD17" si="31">STDEVA(BB7:BB13)</f>
        <v>3.7745405328586235</v>
      </c>
      <c r="BC17" s="26">
        <f t="shared" si="31"/>
        <v>5.9623603824388045</v>
      </c>
      <c r="BD17" s="26">
        <f t="shared" si="31"/>
        <v>6.4842984231321097</v>
      </c>
      <c r="BE17" s="26">
        <f>STDEVA(BE7:BE13)</f>
        <v>5.7139650698181219</v>
      </c>
      <c r="BF17" s="2"/>
      <c r="BG17" s="2"/>
      <c r="BH17" s="2"/>
      <c r="BP17" s="2"/>
      <c r="BQ17" s="2"/>
      <c r="BR17" s="2"/>
      <c r="BS17" s="23"/>
      <c r="BT17" s="2"/>
    </row>
    <row r="18" spans="1:72" s="45" customFormat="1">
      <c r="A18" s="51" t="s">
        <v>61</v>
      </c>
      <c r="B18" s="3" t="s">
        <v>69</v>
      </c>
      <c r="E18" s="109"/>
      <c r="I18" s="2">
        <v>71</v>
      </c>
      <c r="J18" s="2">
        <v>376.51734104046244</v>
      </c>
      <c r="K18" s="2">
        <v>91.314512607736091</v>
      </c>
      <c r="L18" s="2">
        <v>91.026170361430474</v>
      </c>
      <c r="M18" s="2">
        <v>3395.9749999999999</v>
      </c>
      <c r="N18" s="2">
        <v>239.64888159705362</v>
      </c>
      <c r="O18" s="45">
        <v>250</v>
      </c>
      <c r="P18" s="45">
        <v>450</v>
      </c>
      <c r="Q18" s="45">
        <v>8</v>
      </c>
      <c r="R18" s="45">
        <v>0</v>
      </c>
      <c r="S18" s="45">
        <v>182</v>
      </c>
      <c r="T18" s="45">
        <v>17</v>
      </c>
      <c r="U18" s="45">
        <v>5.95</v>
      </c>
      <c r="V18" s="23">
        <v>5659.958333333333</v>
      </c>
      <c r="W18" s="2">
        <f t="shared" si="18"/>
        <v>8</v>
      </c>
      <c r="X18" s="2">
        <f t="shared" si="9"/>
        <v>425</v>
      </c>
      <c r="Y18" s="23">
        <f t="shared" si="19"/>
        <v>5.9859154929577461</v>
      </c>
      <c r="Z18" s="24">
        <f t="shared" si="10"/>
        <v>79.717723004694832</v>
      </c>
      <c r="AA18" s="2"/>
      <c r="AB18" s="18"/>
      <c r="AC18" s="74" t="s">
        <v>69</v>
      </c>
      <c r="AD18" s="75">
        <f t="shared" si="11"/>
        <v>-0.70422535211267612</v>
      </c>
      <c r="AE18" s="75">
        <f t="shared" si="12"/>
        <v>-6.9850566944506935</v>
      </c>
      <c r="AF18" s="75">
        <f t="shared" si="13"/>
        <v>-10.260261743880605</v>
      </c>
      <c r="AG18" s="75">
        <f t="shared" si="14"/>
        <v>-3.030255654166456</v>
      </c>
      <c r="AH18" s="75">
        <f t="shared" si="15"/>
        <v>-1.050331642606317</v>
      </c>
      <c r="AI18" s="75">
        <f t="shared" si="16"/>
        <v>1.158039685728129</v>
      </c>
      <c r="AJ18" s="75">
        <f t="shared" si="20"/>
        <v>2.7472527472527473</v>
      </c>
      <c r="AK18" s="75">
        <f t="shared" si="21"/>
        <v>5.8823529411764701</v>
      </c>
      <c r="AL18" s="75">
        <f t="shared" si="27"/>
        <v>41.680672268907557</v>
      </c>
      <c r="AM18" s="75">
        <f t="shared" si="22"/>
        <v>-1.0503316426063116</v>
      </c>
      <c r="AN18" s="75">
        <f t="shared" si="23"/>
        <v>18.75</v>
      </c>
      <c r="AO18" s="75">
        <f t="shared" si="24"/>
        <v>8.8235294117647065</v>
      </c>
      <c r="AP18" s="75">
        <f t="shared" si="25"/>
        <v>9.5953274926992158</v>
      </c>
      <c r="AQ18" s="75">
        <f t="shared" si="26"/>
        <v>-0.34856094503613622</v>
      </c>
      <c r="AS18" s="16" t="s">
        <v>14</v>
      </c>
      <c r="AT18" s="26">
        <f>AT17/SQRT(COUNT(AT7:AT15))</f>
        <v>0.32614367901511132</v>
      </c>
      <c r="AU18" s="26">
        <f>AU17/SQRT(COUNT(AU7:AU15))</f>
        <v>1.9470355834876232</v>
      </c>
      <c r="AV18" s="26">
        <f>AV17/SQRT(COUNT(AV7:AV15))</f>
        <v>1.4026155085734773</v>
      </c>
      <c r="AW18" s="26">
        <f>AW17/SQRT(COUNT(AW7:AW15))</f>
        <v>1.8337508439937971</v>
      </c>
      <c r="AX18" s="26">
        <f t="shared" ref="AX18" si="32">AX17/SQRT(COUNT(AX8:AX14))</f>
        <v>1.3523673927857849</v>
      </c>
      <c r="AY18" s="26"/>
      <c r="AZ18" s="16" t="s">
        <v>14</v>
      </c>
      <c r="BA18" s="26">
        <f>BA17/SQRT(COUNT(BA7:BA13))</f>
        <v>0.392229574287912</v>
      </c>
      <c r="BB18" s="26">
        <f t="shared" ref="BB18:BD18" si="33">BB17/SQRT(COUNT(BB7:BB13))</f>
        <v>1.4266422233538774</v>
      </c>
      <c r="BC18" s="26">
        <f t="shared" si="33"/>
        <v>2.2535603998395772</v>
      </c>
      <c r="BD18" s="26">
        <f t="shared" si="33"/>
        <v>2.4508344363336909</v>
      </c>
      <c r="BE18" s="26">
        <f>BE17/SQRT(COUNT(BE7:BE13))</f>
        <v>2.1596757964069386</v>
      </c>
      <c r="BF18" s="2"/>
      <c r="BG18" s="2"/>
      <c r="BH18" s="2"/>
      <c r="BP18" s="23"/>
      <c r="BQ18" s="2"/>
      <c r="BR18" s="2"/>
      <c r="BS18" s="23"/>
      <c r="BT18" s="2"/>
    </row>
    <row r="19" spans="1:72" s="45" customFormat="1">
      <c r="A19" s="51" t="s">
        <v>61</v>
      </c>
      <c r="B19" s="3" t="s">
        <v>70</v>
      </c>
      <c r="E19" s="109"/>
      <c r="I19" s="2">
        <v>61</v>
      </c>
      <c r="J19" s="2">
        <v>233.47457627118644</v>
      </c>
      <c r="K19" s="2">
        <v>76.325343215096581</v>
      </c>
      <c r="L19" s="2">
        <v>91.571232249198346</v>
      </c>
      <c r="M19" s="2">
        <v>2516.2809999999995</v>
      </c>
      <c r="N19" s="2">
        <v>177.37311178247725</v>
      </c>
      <c r="O19" s="45">
        <v>200</v>
      </c>
      <c r="P19" s="45">
        <v>350</v>
      </c>
      <c r="Q19" s="45">
        <v>6</v>
      </c>
      <c r="R19" s="45">
        <v>30</v>
      </c>
      <c r="S19" s="45">
        <v>185</v>
      </c>
      <c r="T19" s="45">
        <v>19</v>
      </c>
      <c r="U19" s="45">
        <v>10.7</v>
      </c>
      <c r="V19" s="23">
        <v>4193.8016666666663</v>
      </c>
      <c r="W19" s="2">
        <f t="shared" si="18"/>
        <v>6.5</v>
      </c>
      <c r="X19" s="2">
        <f t="shared" si="9"/>
        <v>337.5</v>
      </c>
      <c r="Y19" s="23">
        <f t="shared" si="19"/>
        <v>5.5327868852459012</v>
      </c>
      <c r="Z19" s="24">
        <f t="shared" si="10"/>
        <v>68.750846994535507</v>
      </c>
      <c r="AA19" s="2"/>
      <c r="AB19" s="18"/>
      <c r="AC19" s="74" t="s">
        <v>70</v>
      </c>
      <c r="AD19" s="75">
        <f t="shared" si="11"/>
        <v>1.4754098360655714</v>
      </c>
      <c r="AE19" s="75">
        <f t="shared" si="12"/>
        <v>2.3466846747984702</v>
      </c>
      <c r="AF19" s="75">
        <f t="shared" si="13"/>
        <v>-5.9806474330064594</v>
      </c>
      <c r="AG19" s="75">
        <f t="shared" si="14"/>
        <v>-3.3510763450068599</v>
      </c>
      <c r="AH19" s="75">
        <f t="shared" si="15"/>
        <v>6.9528403226825812</v>
      </c>
      <c r="AI19" s="75">
        <f t="shared" si="16"/>
        <v>9.8317057230369311</v>
      </c>
      <c r="AJ19" s="75">
        <f t="shared" si="20"/>
        <v>5.9459459459459465</v>
      </c>
      <c r="AK19" s="75">
        <f t="shared" si="21"/>
        <v>5.2631578947368416</v>
      </c>
      <c r="AL19" s="75">
        <f t="shared" si="27"/>
        <v>29.065420560747679</v>
      </c>
      <c r="AM19" s="75">
        <f t="shared" si="22"/>
        <v>6.9528403226825795</v>
      </c>
      <c r="AN19" s="75">
        <f t="shared" si="23"/>
        <v>25.641025641025632</v>
      </c>
      <c r="AO19" s="75">
        <f t="shared" si="24"/>
        <v>12.345679012345686</v>
      </c>
      <c r="AP19" s="75">
        <f t="shared" si="25"/>
        <v>10.712220028321287</v>
      </c>
      <c r="AQ19" s="75">
        <f t="shared" si="26"/>
        <v>5.3977909480393889</v>
      </c>
      <c r="AS19" s="17" t="s">
        <v>85</v>
      </c>
      <c r="AT19" s="17">
        <f>TTEST(AT7:AT15,BA7:BA13,2,2)</f>
        <v>0.95533461996132851</v>
      </c>
      <c r="AU19" s="17">
        <f t="shared" ref="AU19:AX19" si="34">TTEST(AU7:AU15,BB7:BB13,2,2)</f>
        <v>0.82520463881074946</v>
      </c>
      <c r="AV19" s="17">
        <f t="shared" si="34"/>
        <v>0.43197207226770895</v>
      </c>
      <c r="AW19" s="17">
        <f>TTEST(AW7:AW15,BD7:BD13,2,2)</f>
        <v>0.52787110543053961</v>
      </c>
      <c r="AX19" s="17">
        <f t="shared" si="34"/>
        <v>0.41913687927720222</v>
      </c>
      <c r="AY19" s="17"/>
      <c r="AZ19" s="17"/>
      <c r="BA19" s="17"/>
      <c r="BB19" s="17"/>
      <c r="BC19" s="17"/>
      <c r="BD19" s="17"/>
      <c r="BE19" s="17"/>
      <c r="BF19" s="2"/>
      <c r="BG19" s="2"/>
      <c r="BH19" s="2"/>
      <c r="BP19" s="23"/>
      <c r="BQ19" s="2"/>
      <c r="BR19" s="2"/>
      <c r="BS19" s="23"/>
      <c r="BT19" s="2"/>
    </row>
    <row r="20" spans="1:72" s="45" customFormat="1">
      <c r="A20" s="51" t="s">
        <v>60</v>
      </c>
      <c r="B20" s="3" t="s">
        <v>71</v>
      </c>
      <c r="E20" s="109"/>
      <c r="I20" s="2">
        <v>78.099999999999994</v>
      </c>
      <c r="J20" s="2">
        <v>340.33149171270713</v>
      </c>
      <c r="K20" s="2">
        <v>85.116843541926841</v>
      </c>
      <c r="L20" s="2">
        <v>87.443495730788541</v>
      </c>
      <c r="M20" s="2">
        <v>3389.9860000000003</v>
      </c>
      <c r="N20" s="2">
        <v>232.28664343598203</v>
      </c>
      <c r="O20" s="45">
        <v>200</v>
      </c>
      <c r="P20" s="45">
        <v>500</v>
      </c>
      <c r="Q20" s="45">
        <v>12</v>
      </c>
      <c r="R20" s="45">
        <v>0</v>
      </c>
      <c r="S20" s="45">
        <v>187</v>
      </c>
      <c r="T20" s="45">
        <v>19</v>
      </c>
      <c r="U20" s="45">
        <v>13.52</v>
      </c>
      <c r="V20" s="23">
        <v>5649.9766666666674</v>
      </c>
      <c r="W20" s="2">
        <f t="shared" si="18"/>
        <v>12</v>
      </c>
      <c r="X20" s="2">
        <f t="shared" si="9"/>
        <v>475</v>
      </c>
      <c r="Y20" s="23">
        <f t="shared" si="19"/>
        <v>6.0819462227912933</v>
      </c>
      <c r="Z20" s="24">
        <f t="shared" si="10"/>
        <v>72.342851045667956</v>
      </c>
      <c r="AA20" s="2"/>
      <c r="AB20" s="18"/>
      <c r="AC20" s="74" t="s">
        <v>71</v>
      </c>
      <c r="AD20" s="75">
        <f t="shared" si="11"/>
        <v>1.1523687580025681</v>
      </c>
      <c r="AE20" s="75">
        <f t="shared" si="12"/>
        <v>-2.5956147376852106</v>
      </c>
      <c r="AF20" s="75">
        <f t="shared" si="13"/>
        <v>-5.9859694137212367</v>
      </c>
      <c r="AG20" s="75">
        <f t="shared" si="14"/>
        <v>1.3707435878916567</v>
      </c>
      <c r="AH20" s="75">
        <f t="shared" si="15"/>
        <v>4.1305775304086749</v>
      </c>
      <c r="AI20" s="75">
        <f t="shared" si="16"/>
        <v>2.0451776494197644</v>
      </c>
      <c r="AJ20" s="75">
        <f t="shared" si="20"/>
        <v>3.2085561497326207</v>
      </c>
      <c r="AK20" s="75">
        <f t="shared" si="21"/>
        <v>5.2631578947368416</v>
      </c>
      <c r="AL20" s="75">
        <f t="shared" si="27"/>
        <v>12.278106508875741</v>
      </c>
      <c r="AM20" s="75">
        <f t="shared" si="22"/>
        <v>4.1305775304086696</v>
      </c>
      <c r="AN20" s="75">
        <f t="shared" si="23"/>
        <v>0</v>
      </c>
      <c r="AO20" s="75">
        <f t="shared" si="24"/>
        <v>0</v>
      </c>
      <c r="AP20" s="75">
        <f t="shared" si="25"/>
        <v>-1.1392405063291138</v>
      </c>
      <c r="AQ20" s="75">
        <f t="shared" si="26"/>
        <v>2.9442798117078115</v>
      </c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2"/>
      <c r="BG20" s="2"/>
      <c r="BH20" s="2"/>
      <c r="BP20" s="23"/>
      <c r="BQ20" s="2"/>
      <c r="BR20" s="2"/>
      <c r="BS20" s="23"/>
      <c r="BT20" s="2"/>
    </row>
    <row r="21" spans="1:72" s="45" customFormat="1">
      <c r="A21" s="51" t="s">
        <v>60</v>
      </c>
      <c r="B21" s="3" t="s">
        <v>72</v>
      </c>
      <c r="E21" s="109"/>
      <c r="I21" s="2">
        <v>70.900000000000006</v>
      </c>
      <c r="J21" s="2">
        <v>317.55725190839695</v>
      </c>
      <c r="K21" s="2">
        <v>87.488211031054249</v>
      </c>
      <c r="L21" s="2">
        <v>90.263280884873026</v>
      </c>
      <c r="M21" s="2">
        <v>3024.5509999999999</v>
      </c>
      <c r="N21" s="2">
        <v>210.25362386573622</v>
      </c>
      <c r="O21" s="45">
        <v>200</v>
      </c>
      <c r="P21" s="45">
        <v>450</v>
      </c>
      <c r="Q21" s="45">
        <v>10</v>
      </c>
      <c r="R21" s="45">
        <v>0</v>
      </c>
      <c r="S21" s="45">
        <v>196</v>
      </c>
      <c r="T21" s="45">
        <v>19</v>
      </c>
      <c r="U21" s="45">
        <v>15.24</v>
      </c>
      <c r="V21" s="23">
        <v>5040.9183333333331</v>
      </c>
      <c r="W21" s="2">
        <f t="shared" si="18"/>
        <v>10</v>
      </c>
      <c r="X21" s="2">
        <f t="shared" si="9"/>
        <v>425</v>
      </c>
      <c r="Y21" s="23">
        <f t="shared" si="19"/>
        <v>5.994358251057827</v>
      </c>
      <c r="Z21" s="24">
        <f t="shared" si="10"/>
        <v>71.098989186647856</v>
      </c>
      <c r="AA21" s="2"/>
      <c r="AB21" s="18"/>
      <c r="AC21" s="74" t="s">
        <v>72</v>
      </c>
      <c r="AD21" s="75">
        <f t="shared" si="11"/>
        <v>1.551480959097312</v>
      </c>
      <c r="AE21" s="75">
        <f t="shared" si="12"/>
        <v>-1.4898620401337772</v>
      </c>
      <c r="AF21" s="75">
        <f t="shared" si="13"/>
        <v>-5.6594181613630079</v>
      </c>
      <c r="AG21" s="75">
        <f t="shared" si="14"/>
        <v>-1.3287733937656336</v>
      </c>
      <c r="AH21" s="75">
        <f t="shared" si="15"/>
        <v>3.3276674785778102</v>
      </c>
      <c r="AI21" s="75">
        <f t="shared" si="16"/>
        <v>4.6339137864415143</v>
      </c>
      <c r="AJ21" s="75">
        <f t="shared" si="20"/>
        <v>0</v>
      </c>
      <c r="AK21" s="75">
        <f t="shared" si="21"/>
        <v>0</v>
      </c>
      <c r="AL21" s="75">
        <f t="shared" si="27"/>
        <v>-2.3622047244094451</v>
      </c>
      <c r="AM21" s="75">
        <f t="shared" si="22"/>
        <v>3.3276674785778102</v>
      </c>
      <c r="AN21" s="75">
        <f t="shared" si="23"/>
        <v>15</v>
      </c>
      <c r="AO21" s="75">
        <f t="shared" si="24"/>
        <v>8.8235294117647065</v>
      </c>
      <c r="AP21" s="75">
        <f t="shared" si="25"/>
        <v>7.1609477124183103</v>
      </c>
      <c r="AQ21" s="75">
        <f t="shared" si="26"/>
        <v>1.7490503365439842</v>
      </c>
      <c r="AS21" s="17"/>
      <c r="AT21" s="17" t="s">
        <v>95</v>
      </c>
      <c r="AU21" s="17" t="s">
        <v>91</v>
      </c>
      <c r="AV21" s="17" t="s">
        <v>92</v>
      </c>
      <c r="AW21" s="17" t="s">
        <v>93</v>
      </c>
      <c r="AX21" s="17" t="s">
        <v>94</v>
      </c>
      <c r="AY21" s="17"/>
      <c r="AZ21" s="17"/>
      <c r="BA21" s="17"/>
      <c r="BB21" s="17"/>
      <c r="BC21" s="17"/>
      <c r="BD21" s="17"/>
      <c r="BE21" s="17"/>
      <c r="BF21" s="2"/>
      <c r="BG21" s="2"/>
      <c r="BH21" s="2"/>
      <c r="BP21" s="23"/>
      <c r="BQ21" s="2"/>
      <c r="BR21" s="2"/>
      <c r="BS21" s="23"/>
      <c r="BT21" s="2"/>
    </row>
    <row r="22" spans="1:72" s="45" customFormat="1">
      <c r="A22" s="51" t="s">
        <v>60</v>
      </c>
      <c r="B22" s="3" t="s">
        <v>73</v>
      </c>
      <c r="E22" s="109"/>
      <c r="I22" s="2">
        <v>71.3</v>
      </c>
      <c r="J22" s="2">
        <v>300.11682242990651</v>
      </c>
      <c r="K22" s="2">
        <v>78.4762005048715</v>
      </c>
      <c r="L22" s="2">
        <v>86.196167754661147</v>
      </c>
      <c r="M22" s="2">
        <v>3097.9030000000002</v>
      </c>
      <c r="N22" s="2">
        <v>217.64833016470436</v>
      </c>
      <c r="O22" s="45">
        <v>200</v>
      </c>
      <c r="P22" s="45">
        <v>450</v>
      </c>
      <c r="Q22" s="45">
        <v>10</v>
      </c>
      <c r="R22" s="45">
        <v>45</v>
      </c>
      <c r="S22" s="45">
        <v>199</v>
      </c>
      <c r="T22" s="45">
        <v>20</v>
      </c>
      <c r="U22" s="45">
        <v>14.73</v>
      </c>
      <c r="V22" s="23">
        <v>5163.1716666666671</v>
      </c>
      <c r="W22" s="2">
        <f t="shared" si="18"/>
        <v>10.75</v>
      </c>
      <c r="X22" s="2">
        <f t="shared" si="9"/>
        <v>443.75</v>
      </c>
      <c r="Y22" s="23">
        <f t="shared" si="19"/>
        <v>6.223702664796634</v>
      </c>
      <c r="Z22" s="24">
        <f t="shared" si="10"/>
        <v>72.414749883122965</v>
      </c>
      <c r="AA22" s="2"/>
      <c r="AB22" s="18"/>
      <c r="AC22" s="74" t="s">
        <v>73</v>
      </c>
      <c r="AD22" s="75">
        <f t="shared" si="11"/>
        <v>-0.70126227208976166</v>
      </c>
      <c r="AE22" s="75">
        <f t="shared" si="12"/>
        <v>-13.453615283120927</v>
      </c>
      <c r="AF22" s="75">
        <f t="shared" si="13"/>
        <v>-14.799216419108932</v>
      </c>
      <c r="AG22" s="75">
        <f t="shared" si="14"/>
        <v>-6.1060375894365126</v>
      </c>
      <c r="AH22" s="75">
        <f t="shared" si="15"/>
        <v>4.2856409642264568</v>
      </c>
      <c r="AI22" s="75">
        <f t="shared" si="16"/>
        <v>4.2945224372511834</v>
      </c>
      <c r="AJ22" s="75">
        <f t="shared" si="20"/>
        <v>1.0050251256281406</v>
      </c>
      <c r="AK22" s="75">
        <f t="shared" si="21"/>
        <v>-5</v>
      </c>
      <c r="AL22" s="75">
        <f t="shared" si="27"/>
        <v>6.7209775967413456</v>
      </c>
      <c r="AM22" s="75">
        <f t="shared" si="22"/>
        <v>4.2856409642264568</v>
      </c>
      <c r="AN22" s="75">
        <f t="shared" si="23"/>
        <v>0</v>
      </c>
      <c r="AO22" s="75">
        <f t="shared" si="24"/>
        <v>0</v>
      </c>
      <c r="AP22" s="75">
        <f t="shared" si="25"/>
        <v>0.7062146892655351</v>
      </c>
      <c r="AQ22" s="75">
        <f t="shared" si="26"/>
        <v>5.0221214795105373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2"/>
      <c r="BG22" s="2"/>
      <c r="BH22" s="2"/>
      <c r="BP22" s="23"/>
      <c r="BQ22" s="2"/>
      <c r="BR22" s="2"/>
      <c r="BS22" s="23"/>
      <c r="BT22" s="2"/>
    </row>
    <row r="23" spans="1:72" s="45" customFormat="1" ht="16" thickBot="1">
      <c r="A23" s="51" t="s">
        <v>61</v>
      </c>
      <c r="B23" s="41" t="s">
        <v>74</v>
      </c>
      <c r="C23" s="42"/>
      <c r="D23" s="42"/>
      <c r="E23" s="42"/>
      <c r="F23" s="42"/>
      <c r="G23" s="42"/>
      <c r="H23" s="42"/>
      <c r="I23" s="28">
        <v>65.599999999999994</v>
      </c>
      <c r="J23" s="28">
        <v>273.05825242718447</v>
      </c>
      <c r="K23" s="28">
        <v>78.021933420797467</v>
      </c>
      <c r="L23" s="28">
        <v>88.229948825864454</v>
      </c>
      <c r="M23" s="28">
        <v>3152.864</v>
      </c>
      <c r="N23" s="28">
        <v>202.99461037090848</v>
      </c>
      <c r="O23" s="42">
        <v>200</v>
      </c>
      <c r="P23" s="42">
        <v>425</v>
      </c>
      <c r="Q23" s="42">
        <v>9</v>
      </c>
      <c r="R23" s="42">
        <v>30</v>
      </c>
      <c r="S23" s="42">
        <v>203</v>
      </c>
      <c r="T23" s="42">
        <v>20</v>
      </c>
      <c r="U23" s="42">
        <v>11.84</v>
      </c>
      <c r="V23" s="54">
        <v>5254.7733333333335</v>
      </c>
      <c r="W23" s="28">
        <f t="shared" si="18"/>
        <v>9.5</v>
      </c>
      <c r="X23" s="28">
        <f t="shared" si="9"/>
        <v>412.5</v>
      </c>
      <c r="Y23" s="54">
        <f t="shared" si="19"/>
        <v>6.2881097560975618</v>
      </c>
      <c r="Z23" s="55">
        <f t="shared" si="10"/>
        <v>80.103252032520331</v>
      </c>
      <c r="AA23" s="2"/>
      <c r="AB23" s="18"/>
      <c r="AC23" s="74" t="s">
        <v>74</v>
      </c>
      <c r="AD23" s="75">
        <f t="shared" si="11"/>
        <v>-0.15243902439023527</v>
      </c>
      <c r="AE23" s="75">
        <f t="shared" si="12"/>
        <v>-5.4661311914323969</v>
      </c>
      <c r="AF23" s="75">
        <f t="shared" si="13"/>
        <v>2.5061276288172389</v>
      </c>
      <c r="AG23" s="75">
        <f t="shared" si="14"/>
        <v>3.081798137911584</v>
      </c>
      <c r="AH23" s="75">
        <f t="shared" si="15"/>
        <v>-10.837479827864453</v>
      </c>
      <c r="AI23" s="75">
        <f t="shared" si="16"/>
        <v>-9.4299872479786675</v>
      </c>
      <c r="AJ23" s="75">
        <f t="shared" si="20"/>
        <v>0</v>
      </c>
      <c r="AK23" s="75">
        <f t="shared" si="21"/>
        <v>-10</v>
      </c>
      <c r="AL23" s="75">
        <f t="shared" si="27"/>
        <v>-11.73986486486487</v>
      </c>
      <c r="AM23" s="75">
        <f t="shared" si="22"/>
        <v>-10.837479827864453</v>
      </c>
      <c r="AN23" s="75">
        <f t="shared" si="23"/>
        <v>-10.526315789473683</v>
      </c>
      <c r="AO23" s="75">
        <f t="shared" si="24"/>
        <v>-6.0606060606060606</v>
      </c>
      <c r="AP23" s="75">
        <f t="shared" si="25"/>
        <v>-5.9171871385612018</v>
      </c>
      <c r="AQ23" s="75">
        <f t="shared" si="26"/>
        <v>-10.701353842868828</v>
      </c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2"/>
      <c r="BG23" s="2"/>
      <c r="BH23" s="2"/>
      <c r="BP23" s="23"/>
      <c r="BQ23" s="2"/>
      <c r="BR23" s="2"/>
      <c r="BS23" s="23"/>
      <c r="BT23" s="2"/>
    </row>
    <row r="24" spans="1:72" s="16" customFormat="1">
      <c r="A24" s="51"/>
      <c r="B24" s="16" t="s">
        <v>12</v>
      </c>
      <c r="C24" s="26">
        <f>AVERAGE(C8:C23)</f>
        <v>79.366666666666674</v>
      </c>
      <c r="D24" s="26">
        <f>AVERAGE(D8:D23)</f>
        <v>14.066666666666668</v>
      </c>
      <c r="E24" s="26"/>
      <c r="F24" s="26">
        <f>AVERAGE(F8:F23)</f>
        <v>23.433333333333334</v>
      </c>
      <c r="G24" s="26">
        <f>AVERAGE(G8:G23)</f>
        <v>44.566666666666663</v>
      </c>
      <c r="H24" s="26"/>
      <c r="I24" s="26">
        <f t="shared" ref="I24:Z24" si="35">AVERAGE(I8:I23)</f>
        <v>73.343749999999986</v>
      </c>
      <c r="J24" s="26">
        <f t="shared" si="35"/>
        <v>323.76513447591594</v>
      </c>
      <c r="K24" s="26">
        <f t="shared" si="35"/>
        <v>83.394483466348746</v>
      </c>
      <c r="L24" s="26">
        <f t="shared" si="35"/>
        <v>88.560645524513561</v>
      </c>
      <c r="M24" s="26">
        <f t="shared" si="35"/>
        <v>3178.9068749999997</v>
      </c>
      <c r="N24" s="26">
        <f t="shared" si="35"/>
        <v>218.51912868542433</v>
      </c>
      <c r="O24" s="26">
        <f t="shared" si="35"/>
        <v>212.5</v>
      </c>
      <c r="P24" s="26">
        <f t="shared" si="35"/>
        <v>459.375</v>
      </c>
      <c r="Q24" s="26">
        <f t="shared" si="35"/>
        <v>9.9375</v>
      </c>
      <c r="R24" s="26">
        <f t="shared" si="35"/>
        <v>15.4375</v>
      </c>
      <c r="S24" s="26">
        <f t="shared" si="35"/>
        <v>193.625</v>
      </c>
      <c r="T24" s="26">
        <f t="shared" si="35"/>
        <v>19.1875</v>
      </c>
      <c r="U24" s="26">
        <f t="shared" si="35"/>
        <v>11.752500000000001</v>
      </c>
      <c r="V24" s="26">
        <f t="shared" si="35"/>
        <v>5298.2145833333325</v>
      </c>
      <c r="W24" s="26">
        <f t="shared" si="35"/>
        <v>10.194791666666667</v>
      </c>
      <c r="X24" s="26">
        <f t="shared" si="35"/>
        <v>440.80729166666669</v>
      </c>
      <c r="Y24" s="26">
        <f t="shared" si="35"/>
        <v>6.0067366793622838</v>
      </c>
      <c r="Z24" s="26">
        <f t="shared" si="35"/>
        <v>72.230241008575064</v>
      </c>
      <c r="AA24" s="26"/>
      <c r="AB24" s="18"/>
      <c r="AD24" s="26">
        <f t="shared" ref="AD24:AO24" si="36">AVERAGE(AD8:AD23)</f>
        <v>0.73811694672282913</v>
      </c>
      <c r="AE24" s="26">
        <f t="shared" si="36"/>
        <v>-3.7765496692565286</v>
      </c>
      <c r="AF24" s="26">
        <f t="shared" si="36"/>
        <v>-1.9020026047857712</v>
      </c>
      <c r="AG24" s="26">
        <f t="shared" si="36"/>
        <v>0.11932365517823354</v>
      </c>
      <c r="AH24" s="26">
        <f t="shared" si="36"/>
        <v>-0.61265833138622261</v>
      </c>
      <c r="AI24" s="26">
        <f t="shared" si="36"/>
        <v>-0.50328076903397467</v>
      </c>
      <c r="AJ24" s="26">
        <f t="shared" si="36"/>
        <v>1.4849550719483686</v>
      </c>
      <c r="AK24" s="26">
        <f t="shared" si="36"/>
        <v>-0.86590557275541802</v>
      </c>
      <c r="AL24" s="26">
        <f t="shared" si="36"/>
        <v>2.5418023013776025</v>
      </c>
      <c r="AM24" s="26">
        <f t="shared" si="36"/>
        <v>-0.61330591541840462</v>
      </c>
      <c r="AN24" s="26">
        <f t="shared" si="36"/>
        <v>0.17413782473483852</v>
      </c>
      <c r="AO24" s="26">
        <f t="shared" si="36"/>
        <v>0.68522232664340443</v>
      </c>
      <c r="AP24" s="26">
        <f t="shared" ref="AP24:AQ24" si="37">AVERAGE(AP8:AP23)</f>
        <v>-6.191744084509837E-2</v>
      </c>
      <c r="AQ24" s="26">
        <f t="shared" si="37"/>
        <v>-1.3471571725706522</v>
      </c>
      <c r="AR24" s="45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</row>
    <row r="25" spans="1:72" s="16" customFormat="1" ht="16" thickBot="1">
      <c r="A25" s="51"/>
      <c r="B25" s="16" t="s">
        <v>13</v>
      </c>
      <c r="C25" s="26">
        <f>STDEVA(C8:C23)</f>
        <v>3.5232560697930175</v>
      </c>
      <c r="D25" s="26">
        <f>STDEVA(D8:D23)</f>
        <v>1.4011899704655804</v>
      </c>
      <c r="E25" s="26"/>
      <c r="F25" s="26">
        <f>STDEVA(F8:F23)</f>
        <v>1.2055427546683408</v>
      </c>
      <c r="G25" s="26">
        <f>STDEVA(G8:G23)</f>
        <v>1.4011899704655812</v>
      </c>
      <c r="H25" s="26"/>
      <c r="I25" s="26">
        <f t="shared" ref="I25:Z25" si="38">STDEVA(I8:I23)</f>
        <v>6.6951692784175858</v>
      </c>
      <c r="J25" s="26">
        <f t="shared" si="38"/>
        <v>51.593784081048099</v>
      </c>
      <c r="K25" s="26">
        <f t="shared" si="38"/>
        <v>5.2907566103834949</v>
      </c>
      <c r="L25" s="26">
        <f t="shared" si="38"/>
        <v>2.6851369157531257</v>
      </c>
      <c r="M25" s="26">
        <f t="shared" si="38"/>
        <v>351.27102898206391</v>
      </c>
      <c r="N25" s="26">
        <f t="shared" si="38"/>
        <v>30.692211562364982</v>
      </c>
      <c r="O25" s="26">
        <f t="shared" si="38"/>
        <v>22.360679774997898</v>
      </c>
      <c r="P25" s="26">
        <f t="shared" si="38"/>
        <v>52.341029158140685</v>
      </c>
      <c r="Q25" s="26">
        <f t="shared" si="38"/>
        <v>1.8427786989579984</v>
      </c>
      <c r="R25" s="26">
        <f t="shared" si="38"/>
        <v>19.527651335136714</v>
      </c>
      <c r="S25" s="26">
        <f t="shared" si="38"/>
        <v>6.8593002558570069</v>
      </c>
      <c r="T25" s="26">
        <f t="shared" si="38"/>
        <v>0.75</v>
      </c>
      <c r="U25" s="26">
        <f t="shared" si="38"/>
        <v>2.5568300686592313</v>
      </c>
      <c r="V25" s="26">
        <f t="shared" si="38"/>
        <v>585.47330759015938</v>
      </c>
      <c r="W25" s="26">
        <f t="shared" si="38"/>
        <v>1.772147878099297</v>
      </c>
      <c r="X25" s="26">
        <f t="shared" si="38"/>
        <v>50.353488594708118</v>
      </c>
      <c r="Y25" s="26">
        <f t="shared" si="38"/>
        <v>0.38036942283200187</v>
      </c>
      <c r="Z25" s="26">
        <f t="shared" si="38"/>
        <v>4.6568737146921322</v>
      </c>
      <c r="AA25" s="26"/>
      <c r="AB25" s="18"/>
      <c r="AD25" s="26">
        <f t="shared" ref="AD25:AO25" si="39">STDEVA(AD8:AD23)</f>
        <v>0.97033833352391075</v>
      </c>
      <c r="AE25" s="26">
        <f t="shared" si="39"/>
        <v>4.897126110546747</v>
      </c>
      <c r="AF25" s="26">
        <f t="shared" si="39"/>
        <v>8.4328349447487287</v>
      </c>
      <c r="AG25" s="26">
        <f t="shared" si="39"/>
        <v>2.811498712638413</v>
      </c>
      <c r="AH25" s="26">
        <f t="shared" si="39"/>
        <v>4.9768128520613075</v>
      </c>
      <c r="AI25" s="26">
        <f t="shared" si="39"/>
        <v>6.4452210741869393</v>
      </c>
      <c r="AJ25" s="26">
        <f t="shared" si="39"/>
        <v>1.8517496512637415</v>
      </c>
      <c r="AK25" s="26">
        <f t="shared" si="39"/>
        <v>5.4253185093855425</v>
      </c>
      <c r="AL25" s="26">
        <f t="shared" si="39"/>
        <v>18.037854628807047</v>
      </c>
      <c r="AM25" s="26">
        <f t="shared" si="39"/>
        <v>4.9769146577334586</v>
      </c>
      <c r="AN25" s="26">
        <f t="shared" si="39"/>
        <v>12.129043849081569</v>
      </c>
      <c r="AO25" s="26">
        <f t="shared" si="39"/>
        <v>5.8262967436961013</v>
      </c>
      <c r="AP25" s="26">
        <f t="shared" ref="AP25:AQ25" si="40">STDEVA(AP8:AP23)</f>
        <v>5.5428570589964545</v>
      </c>
      <c r="AQ25" s="26">
        <f t="shared" si="40"/>
        <v>4.74615914436834</v>
      </c>
      <c r="AR25" s="45"/>
      <c r="AS25" s="17"/>
      <c r="AT25" s="40" t="str">
        <f>Y86</f>
        <v>Vekt</v>
      </c>
      <c r="AU25" s="40" t="str">
        <f>Z86</f>
        <v>W@4mmol</v>
      </c>
      <c r="AV25" s="42" t="str">
        <f>AM86</f>
        <v>VO2max 60s</v>
      </c>
      <c r="AW25" s="42" t="s">
        <v>16</v>
      </c>
      <c r="AX25" s="39" t="s">
        <v>15</v>
      </c>
      <c r="AY25" s="17"/>
      <c r="AZ25" s="17"/>
      <c r="BA25" s="17"/>
      <c r="BB25" s="17"/>
      <c r="BC25" s="17"/>
      <c r="BD25" s="17"/>
      <c r="BE25" s="17"/>
    </row>
    <row r="26" spans="1:72" s="16" customFormat="1">
      <c r="B26" s="16" t="s">
        <v>14</v>
      </c>
      <c r="C26" s="26">
        <f>C25/SQRT(COUNT(C8:C23))</f>
        <v>2.0341528403189817</v>
      </c>
      <c r="D26" s="26">
        <f>D25/SQRT(COUNT(D8:D23))</f>
        <v>0.80897740663410667</v>
      </c>
      <c r="E26" s="26"/>
      <c r="F26" s="26">
        <f>F25/SQRT(COUNT(F8:F23))</f>
        <v>0.69602043392736956</v>
      </c>
      <c r="G26" s="26">
        <f>G25/SQRT(COUNT(G8:G23))</f>
        <v>0.80897740663410711</v>
      </c>
      <c r="H26" s="26"/>
      <c r="I26" s="26">
        <f t="shared" ref="I26:Z26" si="41">I25/SQRT(COUNT(I8:I23))</f>
        <v>1.6737923196043965</v>
      </c>
      <c r="J26" s="26">
        <f t="shared" si="41"/>
        <v>12.898446020262025</v>
      </c>
      <c r="K26" s="26">
        <f t="shared" si="41"/>
        <v>1.3226891525958737</v>
      </c>
      <c r="L26" s="26">
        <f t="shared" si="41"/>
        <v>0.67128422893828144</v>
      </c>
      <c r="M26" s="26">
        <f t="shared" si="41"/>
        <v>87.817757245515978</v>
      </c>
      <c r="N26" s="26">
        <f t="shared" si="41"/>
        <v>7.6730528905912454</v>
      </c>
      <c r="O26" s="26">
        <f t="shared" si="41"/>
        <v>5.5901699437494745</v>
      </c>
      <c r="P26" s="26">
        <f t="shared" si="41"/>
        <v>13.085257289535171</v>
      </c>
      <c r="Q26" s="26">
        <f t="shared" si="41"/>
        <v>0.4606946747394996</v>
      </c>
      <c r="R26" s="26">
        <f t="shared" si="41"/>
        <v>4.8819128337841784</v>
      </c>
      <c r="S26" s="26">
        <f t="shared" si="41"/>
        <v>1.7148250639642517</v>
      </c>
      <c r="T26" s="26">
        <f t="shared" si="41"/>
        <v>0.1875</v>
      </c>
      <c r="U26" s="26">
        <f t="shared" si="41"/>
        <v>0.63920751716480784</v>
      </c>
      <c r="V26" s="26">
        <f t="shared" si="41"/>
        <v>146.36832689753984</v>
      </c>
      <c r="W26" s="26">
        <f t="shared" si="41"/>
        <v>0.44303696952482424</v>
      </c>
      <c r="X26" s="26">
        <f t="shared" si="41"/>
        <v>12.588372148677029</v>
      </c>
      <c r="Y26" s="26">
        <f t="shared" si="41"/>
        <v>9.5092355708000467E-2</v>
      </c>
      <c r="Z26" s="26">
        <f t="shared" si="41"/>
        <v>1.164218428673033</v>
      </c>
      <c r="AA26" s="26"/>
      <c r="AB26" s="18"/>
      <c r="AD26" s="26">
        <f t="shared" ref="AD26:AO26" si="42">AD25/SQRT(COUNT(AD8:AD23))</f>
        <v>0.24258458338097769</v>
      </c>
      <c r="AE26" s="26">
        <f t="shared" si="42"/>
        <v>1.2242815276366867</v>
      </c>
      <c r="AF26" s="26">
        <f t="shared" si="42"/>
        <v>2.1082087361871822</v>
      </c>
      <c r="AG26" s="26">
        <f t="shared" si="42"/>
        <v>0.70287467815960325</v>
      </c>
      <c r="AH26" s="26">
        <f t="shared" si="42"/>
        <v>1.2442032130153269</v>
      </c>
      <c r="AI26" s="26">
        <f t="shared" si="42"/>
        <v>1.6113052685467348</v>
      </c>
      <c r="AJ26" s="26">
        <f t="shared" si="42"/>
        <v>0.46293741281593537</v>
      </c>
      <c r="AK26" s="26">
        <f t="shared" si="42"/>
        <v>1.3563296273463856</v>
      </c>
      <c r="AL26" s="26">
        <f t="shared" si="42"/>
        <v>4.6573540385786707</v>
      </c>
      <c r="AM26" s="26">
        <f t="shared" si="42"/>
        <v>1.2442286644333647</v>
      </c>
      <c r="AN26" s="26">
        <f t="shared" si="42"/>
        <v>3.0322609622703922</v>
      </c>
      <c r="AO26" s="26">
        <f t="shared" si="42"/>
        <v>1.4565741859240253</v>
      </c>
      <c r="AP26" s="26">
        <f t="shared" ref="AP26:AQ26" si="43">AP25/SQRT(COUNT(AP8:AP23))</f>
        <v>1.3857142647491136</v>
      </c>
      <c r="AQ26" s="26">
        <f t="shared" si="43"/>
        <v>1.186539786092085</v>
      </c>
      <c r="AR26" s="26"/>
      <c r="AS26" s="79" t="s">
        <v>87</v>
      </c>
      <c r="AT26" s="80">
        <f>AVERAGE(AT7,AT8,AZ7)</f>
        <v>9.1855853225298045E-2</v>
      </c>
      <c r="AU26" s="80">
        <f>AVERAGE(AU7,AU8,BB7)</f>
        <v>-5.9158400395941513</v>
      </c>
      <c r="AV26" s="80">
        <f>AVERAGE(AV7,AV8,BC7)</f>
        <v>-2.4262908092438438</v>
      </c>
      <c r="AW26" s="80">
        <f>AVERAGE(AW7,AW8,BD7)</f>
        <v>-5.1052554463961242</v>
      </c>
      <c r="AX26" s="80">
        <f>AVERAGE(AX7,AX8,BE7)</f>
        <v>-2.8636131319078584</v>
      </c>
      <c r="AY26" s="17"/>
      <c r="AZ26" s="17"/>
      <c r="BA26" s="17"/>
      <c r="BB26" s="17"/>
      <c r="BC26" s="17"/>
      <c r="BD26" s="17"/>
      <c r="BE26" s="17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</row>
    <row r="27" spans="1:72" s="45" customFormat="1">
      <c r="E27" s="109"/>
      <c r="AA27" s="109"/>
      <c r="AB27" s="18"/>
      <c r="AC27" s="15"/>
      <c r="AG27" s="1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81" t="s">
        <v>88</v>
      </c>
      <c r="AT27" s="82">
        <f>AVERAGE(AT9,AT10,AZ8)</f>
        <v>1.821359020726109</v>
      </c>
      <c r="AU27" s="82">
        <f>AVERAGE(AU9,AU10,BB8)</f>
        <v>-3.6086354399581744</v>
      </c>
      <c r="AV27" s="82">
        <f>AVERAGE(AV9,AV10,BC8)</f>
        <v>0.9209852157263333</v>
      </c>
      <c r="AW27" s="82">
        <f>AVERAGE(AW9,AW10,BD8)</f>
        <v>1.9016783091562359</v>
      </c>
      <c r="AX27" s="82">
        <f>AVERAGE(AX9,AX10,BE8)</f>
        <v>-0.36044272169252328</v>
      </c>
      <c r="AY27" s="17"/>
      <c r="AZ27" s="17"/>
      <c r="BA27" s="17"/>
      <c r="BB27" s="17"/>
      <c r="BC27" s="17"/>
      <c r="BD27" s="17"/>
      <c r="BE27" s="17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</row>
    <row r="28" spans="1:72" s="45" customFormat="1">
      <c r="E28" s="109"/>
      <c r="AA28" s="109"/>
      <c r="AB28" s="18"/>
      <c r="AC28" s="15"/>
      <c r="AG28" s="1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83" t="s">
        <v>89</v>
      </c>
      <c r="AT28" s="84">
        <f>AVERAGE(AT11,AT12,AZ9,AZ10)</f>
        <v>0.46383310898877039</v>
      </c>
      <c r="AU28" s="84">
        <f>AVERAGE(AU11,AU12,BB9,BB10)</f>
        <v>-1.0519432493557375</v>
      </c>
      <c r="AV28" s="84">
        <f>AVERAGE(AV11,AV12,BC9,BC10)</f>
        <v>-3.0264731728916736</v>
      </c>
      <c r="AW28" s="84">
        <f>AVERAGE(AW11,AW12,BD9,BD10)</f>
        <v>-0.83946078431372451</v>
      </c>
      <c r="AX28" s="84">
        <f>AVERAGE(AX11,AX12,BE9,BE10)</f>
        <v>-3.9864187470565122</v>
      </c>
      <c r="AY28" s="17"/>
      <c r="AZ28" s="17"/>
      <c r="BA28" s="17"/>
      <c r="BB28" s="17"/>
      <c r="BC28" s="17"/>
      <c r="BD28" s="17"/>
      <c r="BE28" s="17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</row>
    <row r="29" spans="1:72" s="45" customFormat="1">
      <c r="E29" s="109"/>
      <c r="AA29" s="109"/>
      <c r="AB29" s="18"/>
      <c r="AC29" s="15"/>
      <c r="AS29" s="85" t="s">
        <v>90</v>
      </c>
      <c r="AT29" s="86">
        <f>AVERAGE(AT13,AT14,AT15,AZ11,AZ12,AZ13)</f>
        <v>0.66752914833670607</v>
      </c>
      <c r="AU29" s="86">
        <f>AVERAGE(AU13,AU14,AU15,BB11,BB12,BB13)</f>
        <v>-4.6072658786707557</v>
      </c>
      <c r="AV29" s="86">
        <f>AVERAGE(AV13,AV14,AV15,BC11,BC12,BC13)</f>
        <v>1.1348191375707923</v>
      </c>
      <c r="AW29" s="86">
        <f>AVERAGE(AW13,AW14,AW15,BD11,BD12,BD13)</f>
        <v>3.9886886292115058</v>
      </c>
      <c r="AX29" s="86">
        <f>AVERAGE(AX13,AX14,AX15,BE11,BE12,BE13)</f>
        <v>0.67722129798279307</v>
      </c>
      <c r="AY29" s="17"/>
      <c r="AZ29" s="17"/>
      <c r="BA29" s="17"/>
      <c r="BB29" s="17"/>
      <c r="BC29" s="17"/>
      <c r="BD29" s="17"/>
      <c r="BE29" s="17"/>
    </row>
    <row r="30" spans="1:72" s="45" customFormat="1" ht="16" thickBot="1">
      <c r="E30" s="109"/>
      <c r="AA30" s="109"/>
      <c r="AB30" s="18"/>
      <c r="AC30" s="15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72" s="45" customFormat="1" ht="16" customHeight="1">
      <c r="C31" s="27"/>
      <c r="D31" s="1358" t="s">
        <v>50</v>
      </c>
      <c r="E31" s="1359"/>
      <c r="F31" s="1359"/>
      <c r="G31" s="1359"/>
      <c r="H31" s="1359"/>
      <c r="I31" s="1359"/>
      <c r="J31" s="1359"/>
      <c r="K31" s="1359"/>
      <c r="L31" s="1359"/>
      <c r="M31" s="1359"/>
      <c r="N31" s="1359"/>
      <c r="O31" s="1359"/>
      <c r="P31" s="1359"/>
      <c r="Q31" s="1359"/>
      <c r="R31" s="1359"/>
      <c r="S31" s="1359"/>
      <c r="T31" s="1359"/>
      <c r="U31" s="1359"/>
      <c r="V31" s="1359"/>
      <c r="W31" s="1359"/>
      <c r="X31" s="1359"/>
      <c r="Y31" s="1359"/>
      <c r="Z31" s="1360"/>
      <c r="AA31" s="110"/>
      <c r="AB31" s="18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72" s="45" customFormat="1" ht="17" customHeight="1" thickBot="1">
      <c r="D32" s="1361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3"/>
      <c r="AA32" s="110"/>
      <c r="AB32" s="18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</row>
    <row r="33" spans="4:72" s="45" customFormat="1" ht="25">
      <c r="D33" s="3"/>
      <c r="E33" s="109"/>
      <c r="H33" s="1377" t="s">
        <v>37</v>
      </c>
      <c r="I33" s="1378"/>
      <c r="J33" s="1378"/>
      <c r="K33" s="1378"/>
      <c r="L33" s="1378"/>
      <c r="M33" s="1378"/>
      <c r="N33" s="1379"/>
      <c r="O33" s="1377" t="s">
        <v>19</v>
      </c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9"/>
      <c r="AA33" s="113"/>
      <c r="AB33" s="18"/>
      <c r="AQ33" s="27"/>
      <c r="AR33" s="2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</row>
    <row r="34" spans="4:72" s="45" customFormat="1">
      <c r="D34" s="3" t="s">
        <v>51</v>
      </c>
      <c r="E34" s="109"/>
      <c r="I34" s="45" t="s">
        <v>31</v>
      </c>
      <c r="J34" s="45" t="s">
        <v>32</v>
      </c>
      <c r="K34" s="45" t="s">
        <v>33</v>
      </c>
      <c r="L34" s="45" t="s">
        <v>34</v>
      </c>
      <c r="M34" s="45" t="s">
        <v>35</v>
      </c>
      <c r="N34" s="45" t="s">
        <v>35</v>
      </c>
      <c r="O34" s="45" t="s">
        <v>4</v>
      </c>
      <c r="P34" s="45" t="s">
        <v>5</v>
      </c>
      <c r="Q34" s="1356" t="s">
        <v>39</v>
      </c>
      <c r="R34" s="1356"/>
      <c r="S34" s="45" t="s">
        <v>79</v>
      </c>
      <c r="T34" s="45" t="s">
        <v>40</v>
      </c>
      <c r="U34" s="45" t="s">
        <v>7</v>
      </c>
      <c r="V34" s="45" t="s">
        <v>23</v>
      </c>
      <c r="W34" s="45" t="s">
        <v>17</v>
      </c>
      <c r="X34" s="45" t="s">
        <v>16</v>
      </c>
      <c r="Y34" s="45" t="s">
        <v>22</v>
      </c>
      <c r="Z34" s="4" t="s">
        <v>15</v>
      </c>
      <c r="AA34" s="109"/>
      <c r="AB34" s="18"/>
      <c r="AQ34" s="66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K34" s="66"/>
      <c r="BL34" s="66"/>
    </row>
    <row r="35" spans="4:72" s="45" customFormat="1" ht="16" thickBot="1">
      <c r="D35" s="41" t="s">
        <v>75</v>
      </c>
      <c r="E35" s="42"/>
      <c r="F35" s="42" t="s">
        <v>48</v>
      </c>
      <c r="G35" s="42" t="s">
        <v>52</v>
      </c>
      <c r="H35" s="42"/>
      <c r="I35" s="42" t="s">
        <v>2</v>
      </c>
      <c r="J35" s="42" t="s">
        <v>20</v>
      </c>
      <c r="K35" s="42" t="s">
        <v>36</v>
      </c>
      <c r="L35" s="42" t="s">
        <v>36</v>
      </c>
      <c r="M35" s="42" t="s">
        <v>42</v>
      </c>
      <c r="N35" s="42" t="s">
        <v>20</v>
      </c>
      <c r="O35" s="42" t="s">
        <v>3</v>
      </c>
      <c r="P35" s="42" t="s">
        <v>3</v>
      </c>
      <c r="Q35" s="42" t="s">
        <v>8</v>
      </c>
      <c r="R35" s="42" t="s">
        <v>9</v>
      </c>
      <c r="S35" s="42" t="s">
        <v>10</v>
      </c>
      <c r="T35" s="42" t="s">
        <v>41</v>
      </c>
      <c r="U35" s="42" t="s">
        <v>11</v>
      </c>
      <c r="V35" s="42" t="s">
        <v>0</v>
      </c>
      <c r="W35" s="42" t="s">
        <v>18</v>
      </c>
      <c r="X35" s="42" t="s">
        <v>3</v>
      </c>
      <c r="Y35" s="42" t="s">
        <v>21</v>
      </c>
      <c r="Z35" s="43" t="s">
        <v>1</v>
      </c>
      <c r="AA35" s="109"/>
      <c r="AB35" s="18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4:72" s="45" customFormat="1">
      <c r="D36" s="32" t="s">
        <v>60</v>
      </c>
      <c r="E36" s="51"/>
      <c r="F36" s="45" t="s">
        <v>57</v>
      </c>
      <c r="G36" s="45">
        <v>330</v>
      </c>
      <c r="I36" s="2">
        <v>80.5</v>
      </c>
      <c r="J36" s="2">
        <v>377.11598746081501</v>
      </c>
      <c r="K36" s="2">
        <v>84.57184150307117</v>
      </c>
      <c r="L36" s="2">
        <v>90.691163897876052</v>
      </c>
      <c r="M36" s="2">
        <v>3664.15</v>
      </c>
      <c r="N36" s="2">
        <v>245.17400667737087</v>
      </c>
      <c r="O36" s="45">
        <v>250</v>
      </c>
      <c r="P36" s="45">
        <v>525</v>
      </c>
      <c r="Q36" s="45">
        <v>11</v>
      </c>
      <c r="R36" s="45">
        <v>5</v>
      </c>
      <c r="S36" s="45">
        <v>187</v>
      </c>
      <c r="T36" s="45">
        <v>18</v>
      </c>
      <c r="U36" s="45">
        <v>10.44</v>
      </c>
      <c r="V36" s="2">
        <v>6106.916666666667</v>
      </c>
      <c r="W36" s="2">
        <f t="shared" ref="W36:W51" si="44">Q36+R36/60</f>
        <v>11.083333333333334</v>
      </c>
      <c r="X36" s="2">
        <f t="shared" ref="X36:X51" si="45">(P36-25)+((R36/60)*25)</f>
        <v>502.08333333333331</v>
      </c>
      <c r="Y36" s="23">
        <f>X36/I36</f>
        <v>6.237060041407867</v>
      </c>
      <c r="Z36" s="24">
        <f t="shared" ref="Z36:Z51" si="46">V36/I36</f>
        <v>75.862318840579718</v>
      </c>
      <c r="AA36" s="2"/>
      <c r="AB36" s="18"/>
      <c r="AV36" s="2"/>
      <c r="AW36" s="2"/>
      <c r="AX36" s="2"/>
      <c r="AY36" s="2"/>
      <c r="AZ36" s="51"/>
      <c r="BC36" s="2"/>
      <c r="BD36" s="2"/>
      <c r="BE36" s="2"/>
      <c r="BF36" s="2"/>
      <c r="BG36" s="2"/>
      <c r="BH36" s="2"/>
      <c r="BP36" s="2"/>
      <c r="BQ36" s="2"/>
      <c r="BR36" s="2"/>
      <c r="BS36" s="23"/>
      <c r="BT36" s="2"/>
    </row>
    <row r="37" spans="4:72" s="45" customFormat="1">
      <c r="D37" s="32" t="s">
        <v>61</v>
      </c>
      <c r="E37" s="51"/>
      <c r="F37" s="45" t="s">
        <v>58</v>
      </c>
      <c r="G37" s="45">
        <v>275</v>
      </c>
      <c r="I37" s="2">
        <v>74.8</v>
      </c>
      <c r="J37" s="2">
        <v>291.61807580174928</v>
      </c>
      <c r="K37" s="2">
        <v>77.693843603937594</v>
      </c>
      <c r="L37" s="2">
        <v>87.617989204168225</v>
      </c>
      <c r="M37" s="2">
        <v>3202.35</v>
      </c>
      <c r="N37" s="2">
        <v>212.00688562611546</v>
      </c>
      <c r="O37" s="45">
        <v>200</v>
      </c>
      <c r="P37" s="45">
        <v>475</v>
      </c>
      <c r="Q37" s="45">
        <v>11</v>
      </c>
      <c r="R37" s="45">
        <v>22</v>
      </c>
      <c r="S37" s="45">
        <v>202</v>
      </c>
      <c r="T37" s="45">
        <v>20</v>
      </c>
      <c r="U37" s="45">
        <v>16.489999999999998</v>
      </c>
      <c r="V37" s="2">
        <v>5337.25</v>
      </c>
      <c r="W37" s="2">
        <f t="shared" si="44"/>
        <v>11.366666666666667</v>
      </c>
      <c r="X37" s="2">
        <f t="shared" si="45"/>
        <v>459.16666666666669</v>
      </c>
      <c r="Y37" s="23">
        <f>X37/I37</f>
        <v>6.1385918003565063</v>
      </c>
      <c r="Z37" s="24">
        <f t="shared" si="46"/>
        <v>71.353609625668454</v>
      </c>
      <c r="AA37" s="2"/>
      <c r="AB37" s="18"/>
      <c r="AV37" s="23"/>
      <c r="AW37" s="2"/>
      <c r="AX37" s="2"/>
      <c r="AY37" s="2"/>
      <c r="AZ37" s="51"/>
      <c r="BC37" s="2"/>
      <c r="BD37" s="2"/>
      <c r="BE37" s="2"/>
      <c r="BF37" s="2"/>
      <c r="BG37" s="2"/>
      <c r="BH37" s="2"/>
      <c r="BP37" s="23"/>
      <c r="BQ37" s="2"/>
      <c r="BR37" s="2"/>
      <c r="BS37" s="23"/>
      <c r="BT37" s="2"/>
    </row>
    <row r="38" spans="4:72" s="45" customFormat="1">
      <c r="D38" s="32" t="s">
        <v>60</v>
      </c>
      <c r="E38" s="51"/>
      <c r="F38" s="45" t="s">
        <v>59</v>
      </c>
      <c r="G38" s="45">
        <v>350</v>
      </c>
      <c r="I38" s="2">
        <v>71.599999999999994</v>
      </c>
      <c r="J38" s="2">
        <v>313.25622775800713</v>
      </c>
      <c r="K38" s="2">
        <v>84.446079391957099</v>
      </c>
      <c r="L38" s="2">
        <v>86.112054936604736</v>
      </c>
      <c r="M38" s="2">
        <v>3112.75</v>
      </c>
      <c r="N38" s="2">
        <v>208.6534606371666</v>
      </c>
      <c r="O38" s="45">
        <v>250</v>
      </c>
      <c r="P38" s="45">
        <v>475</v>
      </c>
      <c r="Q38" s="45">
        <v>9</v>
      </c>
      <c r="R38" s="45">
        <v>0</v>
      </c>
      <c r="S38" s="45">
        <v>199</v>
      </c>
      <c r="T38" s="45">
        <v>20</v>
      </c>
      <c r="U38" s="45">
        <v>9.76</v>
      </c>
      <c r="V38" s="23">
        <v>5187.916666666667</v>
      </c>
      <c r="W38" s="2">
        <f t="shared" si="44"/>
        <v>9</v>
      </c>
      <c r="X38" s="2">
        <f t="shared" si="45"/>
        <v>450</v>
      </c>
      <c r="Y38" s="23">
        <f t="shared" ref="Y38:Y51" si="47">X38/I38</f>
        <v>6.2849162011173192</v>
      </c>
      <c r="Z38" s="24">
        <f t="shared" si="46"/>
        <v>72.456936685288653</v>
      </c>
      <c r="AA38" s="2"/>
      <c r="AB38" s="18"/>
      <c r="AV38" s="23"/>
      <c r="AW38" s="2"/>
      <c r="AX38" s="2"/>
      <c r="AY38" s="2"/>
      <c r="AZ38" s="51"/>
      <c r="BC38" s="2"/>
      <c r="BD38" s="2"/>
      <c r="BE38" s="2"/>
      <c r="BF38" s="2"/>
      <c r="BG38" s="2"/>
      <c r="BH38" s="2"/>
      <c r="BP38" s="23"/>
      <c r="BQ38" s="2"/>
      <c r="BR38" s="2"/>
      <c r="BS38" s="23"/>
      <c r="BT38" s="2"/>
    </row>
    <row r="39" spans="4:72" s="45" customFormat="1">
      <c r="D39" s="32" t="s">
        <v>60</v>
      </c>
      <c r="E39" s="51"/>
      <c r="F39" s="45" t="s">
        <v>62</v>
      </c>
      <c r="I39" s="2">
        <v>74.3</v>
      </c>
      <c r="J39" s="2">
        <v>283.33333333333331</v>
      </c>
      <c r="K39" s="2">
        <v>81.244523477672047</v>
      </c>
      <c r="L39" s="2">
        <v>91.013071895424829</v>
      </c>
      <c r="M39" s="2">
        <v>2805.95</v>
      </c>
      <c r="N39" s="2">
        <v>196.65112697657534</v>
      </c>
      <c r="O39" s="45">
        <v>200</v>
      </c>
      <c r="P39" s="45">
        <v>425</v>
      </c>
      <c r="Q39" s="45">
        <v>9</v>
      </c>
      <c r="R39" s="45">
        <v>30</v>
      </c>
      <c r="S39" s="45">
        <v>204</v>
      </c>
      <c r="T39" s="45">
        <v>19</v>
      </c>
      <c r="U39" s="45">
        <v>10.11</v>
      </c>
      <c r="V39" s="23">
        <v>4676.583333333333</v>
      </c>
      <c r="W39" s="2">
        <f t="shared" si="44"/>
        <v>9.5</v>
      </c>
      <c r="X39" s="2">
        <f t="shared" si="45"/>
        <v>412.5</v>
      </c>
      <c r="Y39" s="23">
        <f t="shared" si="47"/>
        <v>5.5518169582772545</v>
      </c>
      <c r="Z39" s="24">
        <f t="shared" si="46"/>
        <v>62.941902198295196</v>
      </c>
      <c r="AA39" s="2"/>
      <c r="AB39" s="18"/>
      <c r="AV39" s="23"/>
      <c r="AW39" s="2"/>
      <c r="AX39" s="2"/>
      <c r="AY39" s="2"/>
      <c r="AZ39" s="52"/>
      <c r="BC39" s="2"/>
      <c r="BD39" s="2"/>
      <c r="BE39" s="2"/>
      <c r="BF39" s="2"/>
      <c r="BG39" s="2"/>
      <c r="BH39" s="2"/>
      <c r="BP39" s="23"/>
      <c r="BQ39" s="2"/>
      <c r="BR39" s="2"/>
      <c r="BS39" s="23"/>
      <c r="BT39" s="2"/>
    </row>
    <row r="40" spans="4:72" s="45" customFormat="1">
      <c r="D40" s="32" t="s">
        <v>61</v>
      </c>
      <c r="E40" s="51"/>
      <c r="F40" s="45" t="s">
        <v>63</v>
      </c>
      <c r="I40" s="2">
        <v>74.2</v>
      </c>
      <c r="J40" s="2">
        <v>293.05555555555554</v>
      </c>
      <c r="K40" s="2">
        <v>80.679965102673179</v>
      </c>
      <c r="L40" s="2">
        <v>90.234822451317285</v>
      </c>
      <c r="M40" s="2">
        <v>3097.7</v>
      </c>
      <c r="N40" s="2">
        <v>205.93343385515985</v>
      </c>
      <c r="O40" s="45">
        <v>200</v>
      </c>
      <c r="P40" s="45">
        <v>450</v>
      </c>
      <c r="Q40" s="45">
        <v>10</v>
      </c>
      <c r="R40" s="45">
        <v>14</v>
      </c>
      <c r="S40" s="45">
        <v>194</v>
      </c>
      <c r="T40" s="45">
        <v>19</v>
      </c>
      <c r="U40" s="45">
        <v>12.29</v>
      </c>
      <c r="V40" s="23">
        <v>5162.833333333333</v>
      </c>
      <c r="W40" s="2">
        <f t="shared" si="44"/>
        <v>10.233333333333333</v>
      </c>
      <c r="X40" s="2">
        <f t="shared" si="45"/>
        <v>430.83333333333331</v>
      </c>
      <c r="Y40" s="23">
        <f t="shared" si="47"/>
        <v>5.8063791554357591</v>
      </c>
      <c r="Z40" s="24">
        <f t="shared" si="46"/>
        <v>69.579964061096135</v>
      </c>
      <c r="AA40" s="2"/>
      <c r="AB40" s="18"/>
      <c r="AV40" s="23"/>
      <c r="AW40" s="2"/>
      <c r="AX40" s="2"/>
      <c r="AY40" s="2"/>
      <c r="AZ40" s="51"/>
      <c r="BC40" s="2"/>
      <c r="BD40" s="2"/>
      <c r="BE40" s="2"/>
      <c r="BF40" s="2"/>
      <c r="BG40" s="2"/>
      <c r="BH40" s="2"/>
      <c r="BP40" s="23"/>
      <c r="BQ40" s="2"/>
      <c r="BR40" s="2"/>
      <c r="BS40" s="23"/>
      <c r="BT40" s="2"/>
    </row>
    <row r="41" spans="4:72" s="45" customFormat="1">
      <c r="D41" s="32" t="s">
        <v>60</v>
      </c>
      <c r="E41" s="51"/>
      <c r="F41" s="45" t="s">
        <v>64</v>
      </c>
      <c r="I41" s="2">
        <v>64.2</v>
      </c>
      <c r="J41" s="2">
        <v>236.09693877551024</v>
      </c>
      <c r="K41" s="2">
        <v>80.021373656017332</v>
      </c>
      <c r="L41" s="2">
        <v>86.941326530612244</v>
      </c>
      <c r="M41" s="2">
        <v>2531.85</v>
      </c>
      <c r="N41" s="2">
        <v>169.10139790392398</v>
      </c>
      <c r="O41" s="45">
        <v>200</v>
      </c>
      <c r="P41" s="45">
        <v>400</v>
      </c>
      <c r="Q41" s="45">
        <v>8</v>
      </c>
      <c r="R41" s="45">
        <v>1</v>
      </c>
      <c r="S41" s="45">
        <v>200</v>
      </c>
      <c r="T41" s="45">
        <v>20</v>
      </c>
      <c r="U41" s="45">
        <v>14.6</v>
      </c>
      <c r="V41" s="23">
        <v>4219.75</v>
      </c>
      <c r="W41" s="2">
        <f t="shared" si="44"/>
        <v>8.0166666666666675</v>
      </c>
      <c r="X41" s="2">
        <f t="shared" si="45"/>
        <v>375.41666666666669</v>
      </c>
      <c r="Y41" s="23">
        <f t="shared" si="47"/>
        <v>5.8476116303219108</v>
      </c>
      <c r="Z41" s="24">
        <f t="shared" si="46"/>
        <v>65.728193146417439</v>
      </c>
      <c r="AA41" s="2"/>
      <c r="AB41" s="18"/>
      <c r="AV41" s="23"/>
      <c r="AW41" s="2"/>
      <c r="AX41" s="2"/>
      <c r="AY41" s="2"/>
      <c r="AZ41" s="51"/>
      <c r="BC41" s="2"/>
      <c r="BD41" s="2"/>
      <c r="BE41" s="2"/>
      <c r="BF41" s="2"/>
      <c r="BG41" s="2"/>
      <c r="BH41" s="2"/>
      <c r="BP41" s="23"/>
      <c r="BQ41" s="2"/>
      <c r="BR41" s="2"/>
      <c r="BS41" s="23"/>
      <c r="BT41" s="2"/>
    </row>
    <row r="42" spans="4:72" s="45" customFormat="1">
      <c r="D42" s="32" t="s">
        <v>61</v>
      </c>
      <c r="E42" s="51"/>
      <c r="F42" s="45" t="s">
        <v>65</v>
      </c>
      <c r="I42" s="2">
        <v>85.9</v>
      </c>
      <c r="J42" s="2">
        <v>401.0204081632653</v>
      </c>
      <c r="K42" s="2">
        <v>86.976135978920169</v>
      </c>
      <c r="L42" s="2">
        <v>91.027810087765687</v>
      </c>
      <c r="M42" s="2">
        <v>3528.7999999999997</v>
      </c>
      <c r="N42" s="2">
        <v>250.2382132969712</v>
      </c>
      <c r="O42" s="45">
        <v>250</v>
      </c>
      <c r="P42" s="45">
        <v>500</v>
      </c>
      <c r="Q42" s="45">
        <v>10</v>
      </c>
      <c r="R42" s="45">
        <v>55</v>
      </c>
      <c r="S42" s="45">
        <v>193</v>
      </c>
      <c r="T42" s="45">
        <v>18</v>
      </c>
      <c r="U42" s="45">
        <v>7.63</v>
      </c>
      <c r="V42" s="23">
        <v>5881.333333333333</v>
      </c>
      <c r="W42" s="2">
        <f t="shared" si="44"/>
        <v>10.916666666666666</v>
      </c>
      <c r="X42" s="2">
        <f t="shared" si="45"/>
        <v>497.91666666666669</v>
      </c>
      <c r="Y42" s="23">
        <f t="shared" si="47"/>
        <v>5.7964687621265032</v>
      </c>
      <c r="Z42" s="24">
        <f t="shared" si="46"/>
        <v>68.467209934031814</v>
      </c>
      <c r="AA42" s="2"/>
      <c r="AB42" s="18"/>
      <c r="AV42" s="23"/>
      <c r="AW42" s="2"/>
      <c r="AX42" s="2"/>
      <c r="AY42" s="2"/>
      <c r="AZ42" s="51"/>
      <c r="BC42" s="2"/>
      <c r="BD42" s="2"/>
      <c r="BE42" s="2"/>
      <c r="BF42" s="2"/>
      <c r="BG42" s="2"/>
      <c r="BH42" s="2"/>
      <c r="BP42" s="23"/>
      <c r="BQ42" s="2"/>
      <c r="BR42" s="2"/>
      <c r="BS42" s="23"/>
      <c r="BT42" s="2"/>
    </row>
    <row r="43" spans="4:72" s="45" customFormat="1">
      <c r="D43" s="33" t="s">
        <v>61</v>
      </c>
      <c r="E43" s="52"/>
      <c r="F43" s="45" t="s">
        <v>66</v>
      </c>
      <c r="I43" s="2">
        <v>86.4</v>
      </c>
      <c r="J43" s="2">
        <v>375.38610038610034</v>
      </c>
      <c r="K43" s="2">
        <v>91.904545015682501</v>
      </c>
      <c r="L43" s="2">
        <v>90.432143373319846</v>
      </c>
      <c r="M43" s="2">
        <v>3476.5</v>
      </c>
      <c r="N43" s="2">
        <v>234.70563257563225</v>
      </c>
      <c r="O43" s="56">
        <v>250</v>
      </c>
      <c r="P43" s="45">
        <v>525</v>
      </c>
      <c r="Q43" s="45">
        <v>11</v>
      </c>
      <c r="R43" s="45">
        <v>0</v>
      </c>
      <c r="S43" s="45">
        <v>187</v>
      </c>
      <c r="T43" s="45">
        <v>18</v>
      </c>
      <c r="V43" s="23">
        <v>5794.166666666667</v>
      </c>
      <c r="W43" s="2">
        <f t="shared" si="44"/>
        <v>11</v>
      </c>
      <c r="X43" s="2">
        <f t="shared" si="45"/>
        <v>500</v>
      </c>
      <c r="Y43" s="23">
        <f t="shared" si="47"/>
        <v>5.7870370370370363</v>
      </c>
      <c r="Z43" s="24">
        <f t="shared" si="46"/>
        <v>67.06211419753086</v>
      </c>
      <c r="AA43" s="2"/>
      <c r="AB43" s="18"/>
      <c r="AV43" s="23"/>
      <c r="AW43" s="2"/>
      <c r="AX43" s="2"/>
      <c r="AY43" s="2"/>
    </row>
    <row r="44" spans="4:72" s="45" customFormat="1">
      <c r="D44" s="33" t="s">
        <v>60</v>
      </c>
      <c r="E44" s="52"/>
      <c r="F44" s="45" t="s">
        <v>67</v>
      </c>
      <c r="I44" s="2">
        <v>74.099999999999994</v>
      </c>
      <c r="J44" s="2">
        <v>329.03508771929825</v>
      </c>
      <c r="K44" s="2">
        <v>84.652734577602189</v>
      </c>
      <c r="L44" s="2">
        <v>88.210882536289958</v>
      </c>
      <c r="M44" s="2">
        <v>3233.4</v>
      </c>
      <c r="N44" s="2">
        <v>225.35577132877251</v>
      </c>
      <c r="O44" s="45">
        <v>200</v>
      </c>
      <c r="P44" s="45">
        <v>425</v>
      </c>
      <c r="Q44" s="45">
        <v>9</v>
      </c>
      <c r="R44" s="45">
        <v>0</v>
      </c>
      <c r="S44" s="45">
        <v>197</v>
      </c>
      <c r="T44" s="45">
        <v>20</v>
      </c>
      <c r="U44" s="45">
        <v>8.24</v>
      </c>
      <c r="V44" s="23">
        <v>5389</v>
      </c>
      <c r="W44" s="2">
        <f t="shared" si="44"/>
        <v>9</v>
      </c>
      <c r="X44" s="2">
        <f t="shared" si="45"/>
        <v>400</v>
      </c>
      <c r="Y44" s="23">
        <f t="shared" si="47"/>
        <v>5.3981106612685563</v>
      </c>
      <c r="Z44" s="24">
        <f t="shared" si="46"/>
        <v>72.726045883940628</v>
      </c>
      <c r="AA44" s="2"/>
      <c r="AB44" s="18"/>
      <c r="AV44" s="23"/>
      <c r="AW44" s="2"/>
      <c r="AX44" s="2"/>
      <c r="AY44" s="2"/>
    </row>
    <row r="45" spans="4:72" s="45" customFormat="1">
      <c r="D45" s="32" t="s">
        <v>60</v>
      </c>
      <c r="E45" s="51"/>
      <c r="F45" s="45" t="s">
        <v>68</v>
      </c>
      <c r="I45" s="2">
        <v>76.599999999999994</v>
      </c>
      <c r="J45" s="2">
        <v>326.66051660516609</v>
      </c>
      <c r="K45" s="2">
        <v>90.545975796948468</v>
      </c>
      <c r="L45" s="2">
        <v>89.443600318356147</v>
      </c>
      <c r="M45" s="2">
        <v>3041.05</v>
      </c>
      <c r="N45" s="2">
        <v>206.22747236745064</v>
      </c>
      <c r="O45" s="45">
        <v>200</v>
      </c>
      <c r="P45" s="45">
        <v>450</v>
      </c>
      <c r="Q45" s="45">
        <v>10</v>
      </c>
      <c r="R45" s="45">
        <v>30</v>
      </c>
      <c r="S45" s="45">
        <v>204</v>
      </c>
      <c r="T45" s="45">
        <v>18</v>
      </c>
      <c r="U45" s="45">
        <v>10.23</v>
      </c>
      <c r="V45" s="23">
        <v>5068.416666666667</v>
      </c>
      <c r="W45" s="2">
        <f t="shared" si="44"/>
        <v>10.5</v>
      </c>
      <c r="X45" s="2">
        <f t="shared" si="45"/>
        <v>437.5</v>
      </c>
      <c r="Y45" s="23">
        <f t="shared" si="47"/>
        <v>5.7114882506527422</v>
      </c>
      <c r="Z45" s="24">
        <f t="shared" si="46"/>
        <v>66.167319408181029</v>
      </c>
      <c r="AA45" s="2"/>
      <c r="AB45" s="18"/>
      <c r="AQ45" s="26"/>
      <c r="AR45" s="26"/>
      <c r="AS45" s="26"/>
      <c r="AT45" s="26"/>
      <c r="AU45" s="26"/>
      <c r="AV45" s="26"/>
      <c r="AW45" s="26"/>
      <c r="AX45" s="26"/>
      <c r="AY45" s="26"/>
      <c r="BA45" s="16"/>
      <c r="BB45" s="1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</row>
    <row r="46" spans="4:72" s="45" customFormat="1">
      <c r="D46" s="32" t="s">
        <v>61</v>
      </c>
      <c r="E46" s="51"/>
      <c r="F46" s="45" t="s">
        <v>69</v>
      </c>
      <c r="I46" s="2">
        <v>70.5</v>
      </c>
      <c r="J46" s="2">
        <v>350.21739130434787</v>
      </c>
      <c r="K46" s="2">
        <v>81.945404604033513</v>
      </c>
      <c r="L46" s="2">
        <v>88.267844687282036</v>
      </c>
      <c r="M46" s="2">
        <v>3360.306</v>
      </c>
      <c r="N46" s="2">
        <v>242.42411075235111</v>
      </c>
      <c r="O46" s="45">
        <v>250</v>
      </c>
      <c r="P46" s="45">
        <v>475</v>
      </c>
      <c r="Q46" s="45">
        <v>9</v>
      </c>
      <c r="R46" s="45">
        <v>30</v>
      </c>
      <c r="S46" s="45">
        <v>187</v>
      </c>
      <c r="T46" s="45">
        <v>18</v>
      </c>
      <c r="U46" s="45">
        <v>8.43</v>
      </c>
      <c r="V46" s="23">
        <v>5600.51</v>
      </c>
      <c r="W46" s="2">
        <f t="shared" si="44"/>
        <v>9.5</v>
      </c>
      <c r="X46" s="2">
        <f t="shared" si="45"/>
        <v>462.5</v>
      </c>
      <c r="Y46" s="23">
        <f t="shared" si="47"/>
        <v>6.5602836879432624</v>
      </c>
      <c r="Z46" s="24">
        <f t="shared" si="46"/>
        <v>79.439858156028379</v>
      </c>
      <c r="AA46" s="2"/>
      <c r="AB46" s="18"/>
      <c r="AQ46" s="26"/>
      <c r="AR46" s="26"/>
      <c r="AS46" s="26"/>
      <c r="AT46" s="26"/>
      <c r="AU46" s="26"/>
      <c r="AV46" s="26"/>
      <c r="AW46" s="26"/>
      <c r="AX46" s="26"/>
      <c r="AY46" s="26"/>
      <c r="BA46" s="16"/>
      <c r="BB46" s="1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</row>
    <row r="47" spans="4:72" s="45" customFormat="1">
      <c r="D47" s="32" t="s">
        <v>61</v>
      </c>
      <c r="E47" s="51"/>
      <c r="F47" s="45" t="s">
        <v>70</v>
      </c>
      <c r="I47" s="2">
        <v>61.9</v>
      </c>
      <c r="J47" s="2">
        <v>238.95348837209303</v>
      </c>
      <c r="K47" s="2">
        <v>71.760593535369537</v>
      </c>
      <c r="L47" s="2">
        <v>88.502610346464166</v>
      </c>
      <c r="M47" s="2">
        <v>2691.2339999999999</v>
      </c>
      <c r="N47" s="2">
        <v>194.81191416472376</v>
      </c>
      <c r="O47" s="45">
        <v>200</v>
      </c>
      <c r="P47" s="45">
        <v>400</v>
      </c>
      <c r="Q47" s="45">
        <v>8</v>
      </c>
      <c r="R47" s="45">
        <v>10</v>
      </c>
      <c r="S47" s="45">
        <v>196</v>
      </c>
      <c r="T47" s="45">
        <v>20</v>
      </c>
      <c r="U47" s="45">
        <v>13.81</v>
      </c>
      <c r="V47" s="23">
        <v>4485.3900000000003</v>
      </c>
      <c r="W47" s="2">
        <f t="shared" si="44"/>
        <v>8.1666666666666661</v>
      </c>
      <c r="X47" s="2">
        <f t="shared" si="45"/>
        <v>379.16666666666669</v>
      </c>
      <c r="Y47" s="23">
        <f t="shared" si="47"/>
        <v>6.1254711900915462</v>
      </c>
      <c r="Z47" s="24">
        <f t="shared" si="46"/>
        <v>72.461873990306955</v>
      </c>
      <c r="AA47" s="2"/>
      <c r="AB47" s="18"/>
      <c r="AQ47" s="26"/>
      <c r="AR47" s="26"/>
      <c r="AS47" s="26"/>
      <c r="AT47" s="26"/>
      <c r="AU47" s="26"/>
      <c r="AV47" s="26"/>
      <c r="AW47" s="26"/>
      <c r="AX47" s="26"/>
      <c r="AY47" s="26"/>
      <c r="BA47" s="16"/>
      <c r="BB47" s="1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</row>
    <row r="48" spans="4:72" s="45" customFormat="1">
      <c r="D48" s="32" t="s">
        <v>60</v>
      </c>
      <c r="E48" s="51"/>
      <c r="F48" s="45" t="s">
        <v>71</v>
      </c>
      <c r="I48" s="2">
        <v>79</v>
      </c>
      <c r="J48" s="2">
        <v>331.49779735682819</v>
      </c>
      <c r="K48" s="2">
        <v>80.02177532158214</v>
      </c>
      <c r="L48" s="2">
        <v>88.64212184154664</v>
      </c>
      <c r="M48" s="2">
        <v>3530.0120000000002</v>
      </c>
      <c r="N48" s="2">
        <v>237.03731795012212</v>
      </c>
      <c r="O48" s="45">
        <v>200</v>
      </c>
      <c r="P48" s="45">
        <v>500</v>
      </c>
      <c r="Q48" s="45">
        <v>12</v>
      </c>
      <c r="R48" s="45">
        <v>0</v>
      </c>
      <c r="S48" s="45">
        <v>193</v>
      </c>
      <c r="T48" s="45">
        <v>20</v>
      </c>
      <c r="U48" s="45">
        <v>15.18</v>
      </c>
      <c r="V48" s="23">
        <v>5883.3533333333335</v>
      </c>
      <c r="W48" s="2">
        <f t="shared" si="44"/>
        <v>12</v>
      </c>
      <c r="X48" s="2">
        <f t="shared" si="45"/>
        <v>475</v>
      </c>
      <c r="Y48" s="23">
        <f t="shared" si="47"/>
        <v>6.0126582278481013</v>
      </c>
      <c r="Z48" s="24">
        <f t="shared" si="46"/>
        <v>74.472827004219411</v>
      </c>
      <c r="AA48" s="2"/>
      <c r="AB48" s="18"/>
    </row>
    <row r="49" spans="1:72" s="45" customFormat="1">
      <c r="D49" s="32" t="s">
        <v>60</v>
      </c>
      <c r="E49" s="51"/>
      <c r="F49" s="45" t="s">
        <v>72</v>
      </c>
      <c r="I49" s="2">
        <v>72</v>
      </c>
      <c r="J49" s="2">
        <v>312.82608695652175</v>
      </c>
      <c r="K49" s="2">
        <v>82.53688732691117</v>
      </c>
      <c r="L49" s="2">
        <v>89.063886424134893</v>
      </c>
      <c r="M49" s="2">
        <v>3125.1979999999999</v>
      </c>
      <c r="N49" s="2">
        <v>219.99659552854345</v>
      </c>
      <c r="O49" s="45">
        <v>200</v>
      </c>
      <c r="P49" s="45">
        <v>475</v>
      </c>
      <c r="Q49" s="45">
        <v>11</v>
      </c>
      <c r="R49" s="45">
        <v>30</v>
      </c>
      <c r="S49" s="45">
        <v>196</v>
      </c>
      <c r="T49" s="45">
        <v>19</v>
      </c>
      <c r="U49" s="45">
        <v>14.88</v>
      </c>
      <c r="V49" s="23">
        <v>5208.663333333333</v>
      </c>
      <c r="W49" s="2">
        <f t="shared" si="44"/>
        <v>11.5</v>
      </c>
      <c r="X49" s="2">
        <f t="shared" si="45"/>
        <v>462.5</v>
      </c>
      <c r="Y49" s="23">
        <f t="shared" si="47"/>
        <v>6.4236111111111107</v>
      </c>
      <c r="Z49" s="24">
        <f t="shared" si="46"/>
        <v>72.342546296296291</v>
      </c>
      <c r="AA49" s="2"/>
      <c r="AB49" s="18"/>
      <c r="AQ49" s="23"/>
      <c r="AR49" s="67"/>
      <c r="AS49" s="23"/>
      <c r="AT49" s="23"/>
      <c r="AU49" s="23"/>
      <c r="AV49" s="23"/>
      <c r="AW49" s="23"/>
      <c r="AX49" s="23"/>
      <c r="AY49" s="23"/>
      <c r="BC49" s="23"/>
      <c r="BD49" s="67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</row>
    <row r="50" spans="1:72" s="45" customFormat="1">
      <c r="D50" s="32" t="s">
        <v>60</v>
      </c>
      <c r="E50" s="51"/>
      <c r="F50" s="45" t="s">
        <v>73</v>
      </c>
      <c r="I50" s="45">
        <v>70.8</v>
      </c>
      <c r="J50" s="2">
        <v>259.74025974025972</v>
      </c>
      <c r="K50" s="2">
        <v>66.862337754661709</v>
      </c>
      <c r="L50" s="2">
        <v>80.932997350907783</v>
      </c>
      <c r="M50" s="2">
        <v>3230.6680000000006</v>
      </c>
      <c r="N50" s="2">
        <v>226.99528653793013</v>
      </c>
      <c r="O50" s="45">
        <v>200</v>
      </c>
      <c r="P50" s="45">
        <v>450</v>
      </c>
      <c r="Q50" s="45">
        <v>10</v>
      </c>
      <c r="R50" s="45">
        <v>45</v>
      </c>
      <c r="S50" s="45">
        <v>201</v>
      </c>
      <c r="T50" s="45">
        <v>19</v>
      </c>
      <c r="U50" s="45">
        <v>15.72</v>
      </c>
      <c r="V50" s="23">
        <v>5384.4466666666676</v>
      </c>
      <c r="W50" s="2">
        <f>Q50+R50/60</f>
        <v>10.75</v>
      </c>
      <c r="X50" s="2">
        <f>(P50-25)+((R50/60)*25)</f>
        <v>443.75</v>
      </c>
      <c r="Y50" s="23">
        <f>X50/I50</f>
        <v>6.2676553672316384</v>
      </c>
      <c r="Z50" s="24">
        <f>V50/I50</f>
        <v>76.051506591337116</v>
      </c>
      <c r="AA50" s="2"/>
      <c r="AB50" s="18"/>
      <c r="AQ50" s="2"/>
      <c r="AR50" s="2"/>
      <c r="AS50" s="2"/>
      <c r="AT50" s="2"/>
      <c r="AU50" s="2"/>
      <c r="AV50" s="2"/>
      <c r="AW50" s="2"/>
      <c r="AX50" s="2"/>
      <c r="AY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s="45" customFormat="1" ht="16" thickBot="1">
      <c r="D51" s="53" t="s">
        <v>61</v>
      </c>
      <c r="E51" s="112"/>
      <c r="F51" s="42" t="s">
        <v>74</v>
      </c>
      <c r="G51" s="42"/>
      <c r="H51" s="42"/>
      <c r="I51" s="28">
        <v>65.5</v>
      </c>
      <c r="J51" s="28">
        <v>258.13253012048193</v>
      </c>
      <c r="K51" s="28">
        <v>79.977262650793463</v>
      </c>
      <c r="L51" s="28">
        <v>90.949017745860289</v>
      </c>
      <c r="M51" s="28">
        <v>2811.1729999999998</v>
      </c>
      <c r="N51" s="28">
        <v>183.85224449884782</v>
      </c>
      <c r="O51" s="42">
        <v>200</v>
      </c>
      <c r="P51" s="42">
        <v>400</v>
      </c>
      <c r="Q51" s="42">
        <v>8</v>
      </c>
      <c r="R51" s="42">
        <v>30</v>
      </c>
      <c r="S51" s="42">
        <v>203</v>
      </c>
      <c r="T51" s="42">
        <v>18</v>
      </c>
      <c r="U51" s="42">
        <v>10.45</v>
      </c>
      <c r="V51" s="54">
        <v>4685.288333333333</v>
      </c>
      <c r="W51" s="28">
        <f t="shared" si="44"/>
        <v>8.5</v>
      </c>
      <c r="X51" s="28">
        <f t="shared" si="45"/>
        <v>387.5</v>
      </c>
      <c r="Y51" s="54">
        <f t="shared" si="47"/>
        <v>5.9160305343511448</v>
      </c>
      <c r="Z51" s="55">
        <f t="shared" si="46"/>
        <v>71.531119592875314</v>
      </c>
      <c r="AA51" s="2"/>
      <c r="AB51" s="18"/>
    </row>
    <row r="52" spans="1:72" s="45" customFormat="1">
      <c r="D52" s="15"/>
      <c r="E52" s="15"/>
      <c r="H52" s="16" t="s">
        <v>12</v>
      </c>
      <c r="I52" s="26">
        <f t="shared" ref="I52:Z52" si="48">AVERAGE(I36:I51)</f>
        <v>73.893749999999997</v>
      </c>
      <c r="J52" s="26">
        <f t="shared" si="48"/>
        <v>311.12161158808328</v>
      </c>
      <c r="K52" s="26">
        <f t="shared" si="48"/>
        <v>81.61507995611457</v>
      </c>
      <c r="L52" s="26">
        <f t="shared" si="48"/>
        <v>88.630208976745692</v>
      </c>
      <c r="M52" s="26">
        <f t="shared" si="48"/>
        <v>3152.6931874999996</v>
      </c>
      <c r="N52" s="26">
        <f t="shared" si="48"/>
        <v>216.19780441735358</v>
      </c>
      <c r="O52" s="26">
        <f t="shared" si="48"/>
        <v>215.625</v>
      </c>
      <c r="P52" s="26">
        <f t="shared" si="48"/>
        <v>459.375</v>
      </c>
      <c r="Q52" s="26">
        <f t="shared" si="48"/>
        <v>9.75</v>
      </c>
      <c r="R52" s="26">
        <f t="shared" si="48"/>
        <v>18.875</v>
      </c>
      <c r="S52" s="26">
        <f t="shared" si="48"/>
        <v>196.4375</v>
      </c>
      <c r="T52" s="26">
        <f t="shared" si="48"/>
        <v>19</v>
      </c>
      <c r="U52" s="26">
        <f t="shared" si="48"/>
        <v>11.883999999999999</v>
      </c>
      <c r="V52" s="26">
        <f t="shared" si="48"/>
        <v>5254.4886458333331</v>
      </c>
      <c r="W52" s="26">
        <f t="shared" si="48"/>
        <v>10.064583333333335</v>
      </c>
      <c r="X52" s="26">
        <f t="shared" si="48"/>
        <v>442.23958333333331</v>
      </c>
      <c r="Y52" s="26">
        <f t="shared" si="48"/>
        <v>5.9915744135361422</v>
      </c>
      <c r="Z52" s="26">
        <f t="shared" si="48"/>
        <v>71.165334100755842</v>
      </c>
      <c r="AA52" s="26"/>
      <c r="AB52" s="18"/>
    </row>
    <row r="53" spans="1:72" s="45" customFormat="1">
      <c r="C53" s="2"/>
      <c r="D53" s="16"/>
      <c r="E53" s="16"/>
      <c r="F53" s="16"/>
      <c r="G53" s="2"/>
      <c r="H53" s="16" t="s">
        <v>13</v>
      </c>
      <c r="I53" s="26">
        <f t="shared" ref="I53:Z53" si="49">STDEVA(I36:I51)</f>
        <v>6.913413893776843</v>
      </c>
      <c r="J53" s="26">
        <f t="shared" si="49"/>
        <v>49.56089927790886</v>
      </c>
      <c r="K53" s="26">
        <f t="shared" si="49"/>
        <v>6.219438427601176</v>
      </c>
      <c r="L53" s="26">
        <f t="shared" si="49"/>
        <v>2.5496537658168079</v>
      </c>
      <c r="M53" s="26">
        <f t="shared" si="49"/>
        <v>322.64788864957603</v>
      </c>
      <c r="N53" s="26">
        <f t="shared" si="49"/>
        <v>23.181717076042631</v>
      </c>
      <c r="O53" s="26">
        <f t="shared" si="49"/>
        <v>23.935677693908453</v>
      </c>
      <c r="P53" s="26">
        <f t="shared" si="49"/>
        <v>41.708312520807326</v>
      </c>
      <c r="Q53" s="26">
        <f t="shared" si="49"/>
        <v>1.2382783747337807</v>
      </c>
      <c r="R53" s="26">
        <f t="shared" si="49"/>
        <v>17.617699433618832</v>
      </c>
      <c r="S53" s="26">
        <f t="shared" si="49"/>
        <v>5.9213596411635052</v>
      </c>
      <c r="T53" s="26">
        <f t="shared" si="49"/>
        <v>0.89442719099991586</v>
      </c>
      <c r="U53" s="26">
        <f t="shared" si="49"/>
        <v>2.9864187822301691</v>
      </c>
      <c r="V53" s="26">
        <f t="shared" si="49"/>
        <v>537.7464810826267</v>
      </c>
      <c r="W53" s="26">
        <f t="shared" si="49"/>
        <v>1.2642941963066903</v>
      </c>
      <c r="X53" s="26">
        <f t="shared" si="49"/>
        <v>42.049044061446644</v>
      </c>
      <c r="Y53" s="26">
        <f t="shared" si="49"/>
        <v>0.32013242311091167</v>
      </c>
      <c r="Z53" s="26">
        <f t="shared" si="49"/>
        <v>4.3319043155104522</v>
      </c>
      <c r="AA53" s="26"/>
      <c r="AB53" s="18"/>
    </row>
    <row r="54" spans="1:72">
      <c r="A54" s="45"/>
      <c r="B54" s="45"/>
      <c r="C54" s="2"/>
      <c r="D54" s="16"/>
      <c r="E54" s="16"/>
      <c r="F54" s="16"/>
      <c r="G54" s="2"/>
      <c r="H54" s="16" t="s">
        <v>14</v>
      </c>
      <c r="I54" s="26">
        <f t="shared" ref="I54:Z54" si="50">I53/SQRT(COUNT(I36:I51))</f>
        <v>1.7283534734442108</v>
      </c>
      <c r="J54" s="26">
        <f t="shared" si="50"/>
        <v>12.390224819477215</v>
      </c>
      <c r="K54" s="26">
        <f t="shared" si="50"/>
        <v>1.554859606900294</v>
      </c>
      <c r="L54" s="26">
        <f t="shared" si="50"/>
        <v>0.63741344145420198</v>
      </c>
      <c r="M54" s="26">
        <f t="shared" si="50"/>
        <v>80.661972162394008</v>
      </c>
      <c r="N54" s="26">
        <f t="shared" si="50"/>
        <v>5.7954292690106577</v>
      </c>
      <c r="O54" s="26">
        <f t="shared" si="50"/>
        <v>5.9839194234771131</v>
      </c>
      <c r="P54" s="26">
        <f t="shared" si="50"/>
        <v>10.427078130201831</v>
      </c>
      <c r="Q54" s="26">
        <f t="shared" si="50"/>
        <v>0.30956959368344517</v>
      </c>
      <c r="R54" s="26">
        <f t="shared" si="50"/>
        <v>4.4044248584047079</v>
      </c>
      <c r="S54" s="26">
        <f t="shared" si="50"/>
        <v>1.4803399102908763</v>
      </c>
      <c r="T54" s="26">
        <f t="shared" si="50"/>
        <v>0.22360679774997896</v>
      </c>
      <c r="U54" s="26">
        <f t="shared" si="50"/>
        <v>0.77109001389189857</v>
      </c>
      <c r="V54" s="26">
        <f t="shared" si="50"/>
        <v>134.43662027065668</v>
      </c>
      <c r="W54" s="26">
        <f t="shared" si="50"/>
        <v>0.31607354907667257</v>
      </c>
      <c r="X54" s="26">
        <f t="shared" si="50"/>
        <v>10.512261015361661</v>
      </c>
      <c r="Y54" s="26">
        <f t="shared" si="50"/>
        <v>8.0033105777727917E-2</v>
      </c>
      <c r="Z54" s="26">
        <f t="shared" si="50"/>
        <v>1.082976078877613</v>
      </c>
      <c r="AA54" s="26"/>
    </row>
    <row r="55" spans="1:72">
      <c r="A55" s="45"/>
      <c r="B55" s="45"/>
      <c r="C55" s="2"/>
      <c r="D55" s="16"/>
      <c r="E55" s="16"/>
      <c r="F55" s="16"/>
      <c r="G55" s="2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>
        <f>(V52-V24)/V25</f>
        <v>-7.4684766893947402E-2</v>
      </c>
      <c r="W55" s="114">
        <f t="shared" ref="W55:Z55" si="51">(W52-W24)/W25</f>
        <v>-7.3474869079766664E-2</v>
      </c>
      <c r="X55" s="114">
        <f t="shared" si="51"/>
        <v>2.8444735541464646E-2</v>
      </c>
      <c r="Y55" s="114">
        <f t="shared" si="51"/>
        <v>-3.9861947138790904E-2</v>
      </c>
      <c r="Z55" s="114">
        <f t="shared" si="51"/>
        <v>-0.2286742078617055</v>
      </c>
      <c r="AA55" s="109"/>
      <c r="AC55" s="12"/>
      <c r="AD55" s="12"/>
    </row>
    <row r="56" spans="1:72">
      <c r="B56" s="1" t="s">
        <v>30</v>
      </c>
      <c r="C56" s="1"/>
      <c r="D56" s="1"/>
      <c r="E56" s="109"/>
      <c r="F56" s="1"/>
      <c r="G56" s="1"/>
      <c r="H56" s="1"/>
      <c r="I56" s="1"/>
      <c r="J56" s="1"/>
      <c r="K56" s="1"/>
      <c r="L56" s="1"/>
      <c r="M56" s="1"/>
      <c r="N56" s="1"/>
      <c r="AC56" s="12"/>
      <c r="AD56" s="12"/>
    </row>
    <row r="57" spans="1:72">
      <c r="B57" s="1" t="s">
        <v>24</v>
      </c>
      <c r="C57" s="1"/>
      <c r="D57" s="1"/>
      <c r="E57" s="109"/>
      <c r="F57" s="1"/>
      <c r="G57" s="1"/>
      <c r="AC57" s="12"/>
      <c r="AD57" s="12"/>
    </row>
    <row r="58" spans="1:72">
      <c r="B58" s="17" t="s">
        <v>25</v>
      </c>
      <c r="AC58" s="12"/>
      <c r="AD58" s="12"/>
    </row>
    <row r="59" spans="1:72">
      <c r="B59" s="17" t="s">
        <v>26</v>
      </c>
      <c r="AC59" s="12"/>
      <c r="AD59" s="12"/>
    </row>
    <row r="60" spans="1:72">
      <c r="B60" s="17" t="s">
        <v>27</v>
      </c>
      <c r="AC60" s="12"/>
      <c r="AD60" s="12"/>
    </row>
    <row r="61" spans="1:72">
      <c r="B61" s="17" t="s">
        <v>28</v>
      </c>
      <c r="AC61" s="12"/>
      <c r="AD61" s="12"/>
    </row>
    <row r="62" spans="1:72">
      <c r="B62" s="17" t="s">
        <v>29</v>
      </c>
      <c r="AC62" s="12"/>
      <c r="AD62" s="12"/>
    </row>
    <row r="63" spans="1:72">
      <c r="AC63" s="15"/>
      <c r="AD63" s="15"/>
    </row>
    <row r="64" spans="1:72" ht="16" thickBot="1"/>
    <row r="65" spans="1:49" ht="25">
      <c r="A65" s="1358" t="s">
        <v>47</v>
      </c>
      <c r="B65" s="1359"/>
      <c r="C65" s="1359"/>
      <c r="D65" s="1359"/>
      <c r="E65" s="1359"/>
      <c r="F65" s="1359"/>
      <c r="G65" s="1359"/>
      <c r="H65" s="1359"/>
      <c r="I65" s="1359"/>
      <c r="J65" s="1359"/>
      <c r="K65" s="1359"/>
      <c r="L65" s="1359"/>
      <c r="M65" s="1359"/>
      <c r="N65" s="1359"/>
      <c r="O65" s="1359"/>
      <c r="P65" s="1359"/>
      <c r="Q65" s="1359"/>
      <c r="R65" s="1359"/>
      <c r="S65" s="1359"/>
      <c r="T65" s="1359"/>
      <c r="U65" s="1360"/>
      <c r="V65" s="34"/>
      <c r="W65" s="1358" t="s">
        <v>47</v>
      </c>
      <c r="X65" s="1359"/>
      <c r="Y65" s="1359"/>
      <c r="Z65" s="1359"/>
      <c r="AA65" s="1359"/>
      <c r="AB65" s="1359"/>
      <c r="AC65" s="1359"/>
      <c r="AD65" s="1359"/>
      <c r="AE65" s="1359"/>
      <c r="AF65" s="1359"/>
      <c r="AG65" s="1359"/>
      <c r="AH65" s="1359"/>
      <c r="AI65" s="1359"/>
      <c r="AJ65" s="1359"/>
      <c r="AK65" s="1359"/>
      <c r="AL65" s="1359"/>
      <c r="AM65" s="1359"/>
      <c r="AN65" s="1359"/>
      <c r="AO65" s="1359"/>
      <c r="AP65" s="1359"/>
      <c r="AQ65" s="1360"/>
      <c r="AT65" s="1364" t="s">
        <v>97</v>
      </c>
      <c r="AU65" s="1365"/>
      <c r="AV65" s="1365"/>
      <c r="AW65" s="1366"/>
    </row>
    <row r="66" spans="1:49" ht="25.5" thickBot="1">
      <c r="A66" s="1361"/>
      <c r="B66" s="1362"/>
      <c r="C66" s="1362"/>
      <c r="D66" s="1362"/>
      <c r="E66" s="1362"/>
      <c r="F66" s="1362"/>
      <c r="G66" s="1362"/>
      <c r="H66" s="1362"/>
      <c r="I66" s="1362"/>
      <c r="J66" s="1362"/>
      <c r="K66" s="1362"/>
      <c r="L66" s="1362"/>
      <c r="M66" s="1362"/>
      <c r="N66" s="1362"/>
      <c r="O66" s="1362"/>
      <c r="P66" s="1362"/>
      <c r="Q66" s="1362"/>
      <c r="R66" s="1362"/>
      <c r="S66" s="1362"/>
      <c r="T66" s="1362"/>
      <c r="U66" s="1363"/>
      <c r="V66" s="27"/>
      <c r="W66" s="1361"/>
      <c r="X66" s="1362"/>
      <c r="Y66" s="1362"/>
      <c r="Z66" s="1362"/>
      <c r="AA66" s="1362"/>
      <c r="AB66" s="1362"/>
      <c r="AC66" s="1362"/>
      <c r="AD66" s="1362"/>
      <c r="AE66" s="1362"/>
      <c r="AF66" s="1362"/>
      <c r="AG66" s="1362"/>
      <c r="AH66" s="1362"/>
      <c r="AI66" s="1362"/>
      <c r="AJ66" s="1362"/>
      <c r="AK66" s="1362"/>
      <c r="AL66" s="1362"/>
      <c r="AM66" s="1362"/>
      <c r="AN66" s="1362"/>
      <c r="AO66" s="1362"/>
      <c r="AP66" s="1362"/>
      <c r="AQ66" s="1363"/>
      <c r="AT66" s="1367"/>
      <c r="AU66" s="1368"/>
      <c r="AV66" s="1368"/>
      <c r="AW66" s="1369"/>
    </row>
    <row r="67" spans="1:49">
      <c r="A67" s="1335" t="s">
        <v>77</v>
      </c>
      <c r="B67" s="45"/>
      <c r="C67" s="45" t="s">
        <v>31</v>
      </c>
      <c r="D67" s="45" t="s">
        <v>32</v>
      </c>
      <c r="E67" s="109" t="s">
        <v>32</v>
      </c>
      <c r="F67" s="45" t="s">
        <v>33</v>
      </c>
      <c r="G67" s="45" t="s">
        <v>81</v>
      </c>
      <c r="H67" s="45" t="s">
        <v>35</v>
      </c>
      <c r="I67" s="45" t="s">
        <v>35</v>
      </c>
      <c r="J67" s="45" t="s">
        <v>4</v>
      </c>
      <c r="K67" s="45" t="s">
        <v>5</v>
      </c>
      <c r="L67" s="1356" t="s">
        <v>39</v>
      </c>
      <c r="M67" s="1356"/>
      <c r="N67" s="45" t="s">
        <v>79</v>
      </c>
      <c r="O67" s="45" t="s">
        <v>40</v>
      </c>
      <c r="P67" s="45" t="s">
        <v>7</v>
      </c>
      <c r="Q67" s="45" t="s">
        <v>23</v>
      </c>
      <c r="R67" s="45" t="s">
        <v>17</v>
      </c>
      <c r="S67" s="45" t="s">
        <v>16</v>
      </c>
      <c r="T67" s="45" t="s">
        <v>22</v>
      </c>
      <c r="U67" s="4" t="s">
        <v>15</v>
      </c>
      <c r="W67" s="1344" t="s">
        <v>77</v>
      </c>
      <c r="X67" s="44"/>
      <c r="Y67" s="44" t="s">
        <v>31</v>
      </c>
      <c r="Z67" s="44" t="s">
        <v>32</v>
      </c>
      <c r="AA67" s="109" t="s">
        <v>32</v>
      </c>
      <c r="AB67" s="44" t="s">
        <v>33</v>
      </c>
      <c r="AC67" s="44" t="s">
        <v>81</v>
      </c>
      <c r="AD67" s="44" t="s">
        <v>35</v>
      </c>
      <c r="AE67" s="44" t="s">
        <v>35</v>
      </c>
      <c r="AF67" s="44" t="s">
        <v>4</v>
      </c>
      <c r="AG67" s="44" t="s">
        <v>5</v>
      </c>
      <c r="AH67" s="1337" t="s">
        <v>39</v>
      </c>
      <c r="AI67" s="1337"/>
      <c r="AJ67" s="44" t="s">
        <v>6</v>
      </c>
      <c r="AK67" s="44" t="s">
        <v>40</v>
      </c>
      <c r="AL67" s="44" t="s">
        <v>7</v>
      </c>
      <c r="AM67" s="44" t="s">
        <v>23</v>
      </c>
      <c r="AN67" s="44" t="s">
        <v>17</v>
      </c>
      <c r="AO67" s="44" t="s">
        <v>16</v>
      </c>
      <c r="AP67" s="44" t="s">
        <v>22</v>
      </c>
      <c r="AQ67" s="5" t="s">
        <v>15</v>
      </c>
      <c r="AT67" s="107" t="s">
        <v>32</v>
      </c>
      <c r="AU67" s="107" t="s">
        <v>23</v>
      </c>
      <c r="AV67" s="107" t="s">
        <v>16</v>
      </c>
      <c r="AW67" s="5" t="s">
        <v>15</v>
      </c>
    </row>
    <row r="68" spans="1:49" ht="16" thickBot="1">
      <c r="A68" s="1336"/>
      <c r="B68" s="42"/>
      <c r="C68" s="42" t="s">
        <v>2</v>
      </c>
      <c r="D68" s="42" t="s">
        <v>20</v>
      </c>
      <c r="E68" s="42" t="s">
        <v>21</v>
      </c>
      <c r="F68" s="42" t="s">
        <v>36</v>
      </c>
      <c r="G68" s="42" t="s">
        <v>36</v>
      </c>
      <c r="H68" s="42" t="s">
        <v>42</v>
      </c>
      <c r="I68" s="42" t="s">
        <v>20</v>
      </c>
      <c r="J68" s="42" t="s">
        <v>3</v>
      </c>
      <c r="K68" s="42" t="s">
        <v>3</v>
      </c>
      <c r="L68" s="42" t="s">
        <v>8</v>
      </c>
      <c r="M68" s="42" t="s">
        <v>9</v>
      </c>
      <c r="N68" s="42" t="s">
        <v>10</v>
      </c>
      <c r="O68" s="42" t="s">
        <v>41</v>
      </c>
      <c r="P68" s="42" t="s">
        <v>11</v>
      </c>
      <c r="Q68" s="42" t="s">
        <v>0</v>
      </c>
      <c r="R68" s="42" t="s">
        <v>18</v>
      </c>
      <c r="S68" s="42" t="s">
        <v>3</v>
      </c>
      <c r="T68" s="42" t="s">
        <v>21</v>
      </c>
      <c r="U68" s="43" t="s">
        <v>1</v>
      </c>
      <c r="W68" s="1336"/>
      <c r="X68" s="42"/>
      <c r="Y68" s="42" t="s">
        <v>2</v>
      </c>
      <c r="Z68" s="42" t="s">
        <v>20</v>
      </c>
      <c r="AA68" s="42" t="s">
        <v>21</v>
      </c>
      <c r="AB68" s="42" t="s">
        <v>36</v>
      </c>
      <c r="AC68" s="42" t="s">
        <v>36</v>
      </c>
      <c r="AD68" s="42" t="s">
        <v>42</v>
      </c>
      <c r="AE68" s="42" t="s">
        <v>20</v>
      </c>
      <c r="AF68" s="42" t="s">
        <v>3</v>
      </c>
      <c r="AG68" s="42" t="s">
        <v>3</v>
      </c>
      <c r="AH68" s="42" t="s">
        <v>8</v>
      </c>
      <c r="AI68" s="42" t="s">
        <v>9</v>
      </c>
      <c r="AJ68" s="42" t="s">
        <v>10</v>
      </c>
      <c r="AK68" s="42" t="s">
        <v>41</v>
      </c>
      <c r="AL68" s="42" t="s">
        <v>11</v>
      </c>
      <c r="AM68" s="42" t="s">
        <v>0</v>
      </c>
      <c r="AN68" s="42" t="s">
        <v>18</v>
      </c>
      <c r="AO68" s="42" t="s">
        <v>3</v>
      </c>
      <c r="AP68" s="42" t="s">
        <v>21</v>
      </c>
      <c r="AQ68" s="43" t="s">
        <v>1</v>
      </c>
      <c r="AT68" s="22">
        <f>Z88-Z69</f>
        <v>-12.235679138962155</v>
      </c>
      <c r="AU68" s="22">
        <f>AM88-AM69</f>
        <v>-101.83333333333303</v>
      </c>
      <c r="AV68" s="22">
        <f>AO88-AO69</f>
        <v>-12.5</v>
      </c>
      <c r="AW68" s="22">
        <f>AQ88-AQ69</f>
        <v>-2.1475165004576695</v>
      </c>
    </row>
    <row r="69" spans="1:49">
      <c r="A69" s="32" t="s">
        <v>60</v>
      </c>
      <c r="B69" s="45" t="s">
        <v>57</v>
      </c>
      <c r="C69" s="50">
        <v>79.8</v>
      </c>
      <c r="D69" s="2">
        <v>384.20658682634729</v>
      </c>
      <c r="E69" s="2">
        <f>D69/C69</f>
        <v>4.8146188825356804</v>
      </c>
      <c r="F69" s="2">
        <v>88.605714766753664</v>
      </c>
      <c r="G69" s="2">
        <v>91.227381302967828</v>
      </c>
      <c r="H69" s="2">
        <v>3543.2999999999997</v>
      </c>
      <c r="I69" s="2">
        <v>238.55999550174306</v>
      </c>
      <c r="J69" s="45">
        <v>250</v>
      </c>
      <c r="K69" s="45">
        <v>525</v>
      </c>
      <c r="L69" s="45">
        <v>11</v>
      </c>
      <c r="M69" s="45">
        <v>38</v>
      </c>
      <c r="N69" s="45">
        <v>183</v>
      </c>
      <c r="O69" s="45">
        <v>19</v>
      </c>
      <c r="P69" s="45">
        <v>11.31</v>
      </c>
      <c r="Q69" s="2">
        <v>5905.5</v>
      </c>
      <c r="R69" s="2">
        <f t="shared" ref="R69:R77" si="52">L69+M69/60</f>
        <v>11.633333333333333</v>
      </c>
      <c r="S69" s="2">
        <f t="shared" ref="S69:S77" si="53">(K69-25)+((M69/60)*25)</f>
        <v>515.83333333333337</v>
      </c>
      <c r="T69" s="23">
        <f t="shared" ref="T69:T77" si="54">S69/C69</f>
        <v>6.4640768588137014</v>
      </c>
      <c r="U69" s="24">
        <f t="shared" ref="U69:U77" si="55">Q69/C69</f>
        <v>74.003759398496243</v>
      </c>
      <c r="W69" s="89" t="s">
        <v>61</v>
      </c>
      <c r="X69" s="44" t="s">
        <v>58</v>
      </c>
      <c r="Y69" s="20">
        <v>74</v>
      </c>
      <c r="Z69" s="20">
        <v>303.85375494071144</v>
      </c>
      <c r="AA69" s="2">
        <f>Z69/Y69</f>
        <v>4.1061318235231274</v>
      </c>
      <c r="AB69" s="20">
        <v>77.75291417108221</v>
      </c>
      <c r="AC69" s="20">
        <v>86.637896265225464</v>
      </c>
      <c r="AD69" s="20">
        <v>3263.45</v>
      </c>
      <c r="AE69" s="20">
        <v>220.97128447547519</v>
      </c>
      <c r="AF69" s="44">
        <v>200</v>
      </c>
      <c r="AG69" s="44">
        <v>475</v>
      </c>
      <c r="AH69" s="44">
        <v>11</v>
      </c>
      <c r="AI69" s="44">
        <v>52</v>
      </c>
      <c r="AJ69" s="44">
        <v>196</v>
      </c>
      <c r="AK69" s="44">
        <v>20</v>
      </c>
      <c r="AL69" s="44">
        <v>16.14</v>
      </c>
      <c r="AM69" s="20">
        <v>5439.083333333333</v>
      </c>
      <c r="AN69" s="20">
        <f t="shared" ref="AN69:AN75" si="56">AH69+AI69/60</f>
        <v>11.866666666666667</v>
      </c>
      <c r="AO69" s="20">
        <f t="shared" ref="AO69:AO75" si="57">(AG69-25)+((AI69/60)*25)</f>
        <v>471.66666666666669</v>
      </c>
      <c r="AP69" s="21">
        <f t="shared" ref="AP69:AP75" si="58">AO69/Y69</f>
        <v>6.3738738738738743</v>
      </c>
      <c r="AQ69" s="57">
        <f t="shared" ref="AQ69:AQ75" si="59">AM69/Y69</f>
        <v>73.501126126126124</v>
      </c>
      <c r="AT69" s="22">
        <f t="shared" ref="AT69:AT75" si="60">Z89-Z70</f>
        <v>-18.308080808080774</v>
      </c>
      <c r="AU69" s="22">
        <f t="shared" ref="AU69:AU75" si="61">AM89-AM70</f>
        <v>170.25</v>
      </c>
      <c r="AV69" s="22">
        <f t="shared" ref="AV69:AV75" si="62">AO89-AO70</f>
        <v>1.6666666666666288</v>
      </c>
      <c r="AW69" s="22">
        <f t="shared" ref="AW69:AW75" si="63">AQ89-AQ70</f>
        <v>2.1126217187538003</v>
      </c>
    </row>
    <row r="70" spans="1:49">
      <c r="A70" s="32" t="s">
        <v>60</v>
      </c>
      <c r="B70" s="45" t="s">
        <v>59</v>
      </c>
      <c r="C70" s="50">
        <v>72.099999999999994</v>
      </c>
      <c r="D70" s="2">
        <v>355.46875000000006</v>
      </c>
      <c r="E70" s="2">
        <f>D70/C70</f>
        <v>4.930218446601943</v>
      </c>
      <c r="F70" s="2">
        <v>88.650613311867517</v>
      </c>
      <c r="G70" s="2">
        <v>83.375</v>
      </c>
      <c r="H70" s="2">
        <v>3413.7499999999995</v>
      </c>
      <c r="I70" s="2">
        <v>222.17361301424819</v>
      </c>
      <c r="J70" s="45">
        <v>250</v>
      </c>
      <c r="K70" s="45">
        <v>525</v>
      </c>
      <c r="L70" s="45">
        <v>11</v>
      </c>
      <c r="M70" s="45">
        <v>0</v>
      </c>
      <c r="N70" s="45">
        <v>200</v>
      </c>
      <c r="O70" s="45">
        <v>19</v>
      </c>
      <c r="P70" s="61">
        <v>11.69</v>
      </c>
      <c r="Q70" s="62">
        <v>5689.583333333333</v>
      </c>
      <c r="R70" s="63">
        <f t="shared" si="52"/>
        <v>11</v>
      </c>
      <c r="S70" s="63">
        <f t="shared" si="53"/>
        <v>500</v>
      </c>
      <c r="T70" s="62">
        <f t="shared" si="54"/>
        <v>6.934812760055479</v>
      </c>
      <c r="U70" s="64">
        <f t="shared" si="55"/>
        <v>78.912390198797965</v>
      </c>
      <c r="W70" s="32" t="s">
        <v>61</v>
      </c>
      <c r="X70" s="45" t="s">
        <v>63</v>
      </c>
      <c r="Y70" s="2">
        <v>74</v>
      </c>
      <c r="Z70" s="2">
        <v>311.36363636363632</v>
      </c>
      <c r="AA70" s="2">
        <f>Z70/Y70</f>
        <v>4.2076167076167073</v>
      </c>
      <c r="AB70" s="2">
        <v>86.043034541640822</v>
      </c>
      <c r="AC70" s="2">
        <v>90.716690716690735</v>
      </c>
      <c r="AD70" s="2">
        <v>2995.5499999999997</v>
      </c>
      <c r="AE70" s="2">
        <v>196.94959790765313</v>
      </c>
      <c r="AF70" s="45">
        <v>200</v>
      </c>
      <c r="AG70" s="45">
        <v>450</v>
      </c>
      <c r="AH70" s="45">
        <v>10</v>
      </c>
      <c r="AI70" s="45">
        <v>10</v>
      </c>
      <c r="AJ70" s="45">
        <v>189</v>
      </c>
      <c r="AK70" s="45">
        <v>19</v>
      </c>
      <c r="AL70" s="61">
        <v>10.35</v>
      </c>
      <c r="AM70" s="62">
        <v>4992.583333333333</v>
      </c>
      <c r="AN70" s="63">
        <f t="shared" si="56"/>
        <v>10.166666666666666</v>
      </c>
      <c r="AO70" s="63">
        <f t="shared" si="57"/>
        <v>429.16666666666669</v>
      </c>
      <c r="AP70" s="62">
        <f t="shared" si="58"/>
        <v>5.7995495495495497</v>
      </c>
      <c r="AQ70" s="64">
        <f t="shared" si="59"/>
        <v>67.467342342342334</v>
      </c>
      <c r="AT70" s="22">
        <f t="shared" si="60"/>
        <v>-23.979591836734699</v>
      </c>
      <c r="AU70" s="22">
        <f t="shared" si="61"/>
        <v>-117.41666666666697</v>
      </c>
      <c r="AV70" s="22">
        <f t="shared" si="62"/>
        <v>-2.0833333333333144</v>
      </c>
      <c r="AW70" s="22">
        <f t="shared" si="63"/>
        <v>-3.0315981708549486</v>
      </c>
    </row>
    <row r="71" spans="1:49">
      <c r="A71" s="32" t="s">
        <v>60</v>
      </c>
      <c r="B71" s="45" t="s">
        <v>62</v>
      </c>
      <c r="C71" s="3">
        <v>72.8</v>
      </c>
      <c r="D71" s="2">
        <v>281.89999999999998</v>
      </c>
      <c r="E71" s="2">
        <f t="shared" ref="E71:E76" si="64">D71/C71</f>
        <v>3.8722527472527473</v>
      </c>
      <c r="F71" s="2">
        <v>84.1</v>
      </c>
      <c r="G71" s="2">
        <v>91.4</v>
      </c>
      <c r="H71" s="31">
        <v>2811</v>
      </c>
      <c r="I71" s="31">
        <v>186</v>
      </c>
      <c r="J71" s="45">
        <v>200</v>
      </c>
      <c r="K71" s="45">
        <v>425</v>
      </c>
      <c r="L71" s="45">
        <v>9</v>
      </c>
      <c r="M71" s="45">
        <v>4</v>
      </c>
      <c r="N71" s="45">
        <v>201</v>
      </c>
      <c r="O71" s="45">
        <v>19</v>
      </c>
      <c r="P71" s="61">
        <v>10.35</v>
      </c>
      <c r="Q71" s="62">
        <v>4685.166666666667</v>
      </c>
      <c r="R71" s="63">
        <f t="shared" si="52"/>
        <v>9.0666666666666664</v>
      </c>
      <c r="S71" s="63">
        <f t="shared" si="53"/>
        <v>401.66666666666669</v>
      </c>
      <c r="T71" s="62">
        <f t="shared" si="54"/>
        <v>5.5173992673992682</v>
      </c>
      <c r="U71" s="64">
        <f t="shared" si="55"/>
        <v>64.356684981684992</v>
      </c>
      <c r="W71" s="32" t="s">
        <v>61</v>
      </c>
      <c r="X71" s="45" t="s">
        <v>65</v>
      </c>
      <c r="Y71" s="2">
        <v>83.9</v>
      </c>
      <c r="Z71" s="2">
        <v>425</v>
      </c>
      <c r="AA71" s="2">
        <f>Z71/Y71</f>
        <v>5.0655542312276518</v>
      </c>
      <c r="AB71" s="2">
        <v>76.2</v>
      </c>
      <c r="AC71" s="2">
        <v>91.2</v>
      </c>
      <c r="AD71" s="2">
        <v>3599</v>
      </c>
      <c r="AE71" s="2">
        <v>285</v>
      </c>
      <c r="AF71" s="45">
        <v>250</v>
      </c>
      <c r="AG71" s="45">
        <v>525</v>
      </c>
      <c r="AH71" s="45">
        <v>11</v>
      </c>
      <c r="AI71" s="45">
        <v>0</v>
      </c>
      <c r="AJ71" s="45">
        <v>193</v>
      </c>
      <c r="AK71" s="45">
        <v>19</v>
      </c>
      <c r="AL71" s="61">
        <v>8.82</v>
      </c>
      <c r="AM71" s="62">
        <v>5998.75</v>
      </c>
      <c r="AN71" s="63">
        <f t="shared" si="56"/>
        <v>11</v>
      </c>
      <c r="AO71" s="63">
        <f t="shared" si="57"/>
        <v>500</v>
      </c>
      <c r="AP71" s="62">
        <f t="shared" si="58"/>
        <v>5.9594755661501786</v>
      </c>
      <c r="AQ71" s="64">
        <f t="shared" si="59"/>
        <v>71.498808104886763</v>
      </c>
      <c r="AT71" s="22">
        <f t="shared" si="60"/>
        <v>5.4642253861003383</v>
      </c>
      <c r="AU71" s="22">
        <f t="shared" si="61"/>
        <v>-437.66666666666606</v>
      </c>
      <c r="AV71" s="22">
        <f t="shared" si="62"/>
        <v>0</v>
      </c>
      <c r="AW71" s="22">
        <f t="shared" si="63"/>
        <v>-5.5699759345592668</v>
      </c>
    </row>
    <row r="72" spans="1:49">
      <c r="A72" s="32" t="s">
        <v>60</v>
      </c>
      <c r="B72" s="45" t="s">
        <v>64</v>
      </c>
      <c r="C72" s="50">
        <v>63.2</v>
      </c>
      <c r="D72" s="2">
        <v>249.71751412429379</v>
      </c>
      <c r="E72" s="2">
        <f t="shared" si="64"/>
        <v>3.9512264893084459</v>
      </c>
      <c r="F72" s="2">
        <v>81.880651952502532</v>
      </c>
      <c r="G72" s="2">
        <v>84.207627118644083</v>
      </c>
      <c r="H72" s="2">
        <v>2543.65</v>
      </c>
      <c r="I72" s="2">
        <v>165.54219600725955</v>
      </c>
      <c r="J72" s="45">
        <v>200</v>
      </c>
      <c r="K72" s="45">
        <v>375</v>
      </c>
      <c r="L72" s="45">
        <v>7</v>
      </c>
      <c r="M72" s="45">
        <v>38</v>
      </c>
      <c r="N72" s="45">
        <v>200</v>
      </c>
      <c r="O72" s="45">
        <v>19</v>
      </c>
      <c r="P72" s="61">
        <v>12.61</v>
      </c>
      <c r="Q72" s="62">
        <v>4239.416666666667</v>
      </c>
      <c r="R72" s="63">
        <f t="shared" si="52"/>
        <v>7.6333333333333329</v>
      </c>
      <c r="S72" s="63">
        <f t="shared" si="53"/>
        <v>365.83333333333331</v>
      </c>
      <c r="T72" s="62">
        <f t="shared" si="54"/>
        <v>5.7885021097046412</v>
      </c>
      <c r="U72" s="64">
        <f t="shared" si="55"/>
        <v>67.079377637130804</v>
      </c>
      <c r="W72" s="33" t="s">
        <v>61</v>
      </c>
      <c r="X72" s="45" t="s">
        <v>66</v>
      </c>
      <c r="Y72" s="2">
        <v>85.8</v>
      </c>
      <c r="Z72" s="2">
        <v>369.921875</v>
      </c>
      <c r="AA72" s="2">
        <f t="shared" ref="AA72:AA74" si="65">Z72/Y72</f>
        <v>4.3114437645687644</v>
      </c>
      <c r="AB72" s="2">
        <v>78.422659581240779</v>
      </c>
      <c r="AC72" s="2">
        <v>87.885167464114815</v>
      </c>
      <c r="AD72" s="2">
        <v>3739.0999999999995</v>
      </c>
      <c r="AE72" s="2">
        <v>264.23607497832023</v>
      </c>
      <c r="AF72" s="45">
        <v>200</v>
      </c>
      <c r="AG72" s="45">
        <v>525</v>
      </c>
      <c r="AH72" s="45">
        <v>13</v>
      </c>
      <c r="AI72" s="45">
        <v>0</v>
      </c>
      <c r="AJ72" s="45">
        <v>190</v>
      </c>
      <c r="AK72" s="45">
        <v>20</v>
      </c>
      <c r="AL72" s="61">
        <v>12.38</v>
      </c>
      <c r="AM72" s="62">
        <v>6231.833333333333</v>
      </c>
      <c r="AN72" s="63">
        <f t="shared" si="56"/>
        <v>13</v>
      </c>
      <c r="AO72" s="63">
        <f t="shared" si="57"/>
        <v>500</v>
      </c>
      <c r="AP72" s="62">
        <f t="shared" si="58"/>
        <v>5.8275058275058278</v>
      </c>
      <c r="AQ72" s="64">
        <f t="shared" si="59"/>
        <v>72.632090132090127</v>
      </c>
      <c r="AT72" s="22">
        <f t="shared" si="60"/>
        <v>-26.29994973611457</v>
      </c>
      <c r="AU72" s="22">
        <f t="shared" si="61"/>
        <v>-59.448333333332812</v>
      </c>
      <c r="AV72" s="22">
        <f t="shared" si="62"/>
        <v>37.5</v>
      </c>
      <c r="AW72" s="22">
        <f t="shared" si="63"/>
        <v>-0.27786484866645367</v>
      </c>
    </row>
    <row r="73" spans="1:49">
      <c r="A73" s="33" t="s">
        <v>60</v>
      </c>
      <c r="B73" s="45" t="s">
        <v>67</v>
      </c>
      <c r="C73" s="50">
        <v>73.900000000000006</v>
      </c>
      <c r="D73" s="2">
        <v>347.24409448818892</v>
      </c>
      <c r="E73" s="2">
        <f t="shared" si="64"/>
        <v>4.6988375438185237</v>
      </c>
      <c r="F73" s="2">
        <v>91.109573324908439</v>
      </c>
      <c r="G73" s="2">
        <v>89.408637064696805</v>
      </c>
      <c r="H73" s="2">
        <v>3312.55</v>
      </c>
      <c r="I73" s="2">
        <v>229.08049415213426</v>
      </c>
      <c r="J73" s="45">
        <v>200</v>
      </c>
      <c r="K73" s="45">
        <v>450</v>
      </c>
      <c r="L73" s="45">
        <v>10</v>
      </c>
      <c r="M73" s="45">
        <v>0</v>
      </c>
      <c r="N73" s="45">
        <v>194</v>
      </c>
      <c r="O73" s="45">
        <v>20</v>
      </c>
      <c r="P73" s="61">
        <v>9.56</v>
      </c>
      <c r="Q73" s="62">
        <v>5520.916666666667</v>
      </c>
      <c r="R73" s="63">
        <f t="shared" si="52"/>
        <v>10</v>
      </c>
      <c r="S73" s="63">
        <f t="shared" si="53"/>
        <v>425</v>
      </c>
      <c r="T73" s="62">
        <f t="shared" si="54"/>
        <v>5.7510148849797016</v>
      </c>
      <c r="U73" s="64">
        <f t="shared" si="55"/>
        <v>74.707938655841218</v>
      </c>
      <c r="W73" s="32" t="s">
        <v>61</v>
      </c>
      <c r="X73" s="45" t="s">
        <v>69</v>
      </c>
      <c r="Y73" s="2">
        <v>71</v>
      </c>
      <c r="Z73" s="2">
        <v>376.51734104046244</v>
      </c>
      <c r="AA73" s="2">
        <f t="shared" si="65"/>
        <v>5.3030611414149638</v>
      </c>
      <c r="AB73" s="2">
        <v>91.314512607736091</v>
      </c>
      <c r="AC73" s="2">
        <v>91.026170361430474</v>
      </c>
      <c r="AD73" s="2">
        <v>3395.9749999999999</v>
      </c>
      <c r="AE73" s="2">
        <v>239.64888159705362</v>
      </c>
      <c r="AF73" s="45">
        <v>250</v>
      </c>
      <c r="AG73" s="45">
        <v>450</v>
      </c>
      <c r="AH73" s="45">
        <v>8</v>
      </c>
      <c r="AI73" s="45">
        <v>0</v>
      </c>
      <c r="AJ73" s="45">
        <v>182</v>
      </c>
      <c r="AK73" s="45">
        <v>17</v>
      </c>
      <c r="AL73" s="61">
        <v>5.95</v>
      </c>
      <c r="AM73" s="62">
        <v>5659.958333333333</v>
      </c>
      <c r="AN73" s="63">
        <f t="shared" si="56"/>
        <v>8</v>
      </c>
      <c r="AO73" s="63">
        <f>(AG73-25)+((AI73/60)*25)</f>
        <v>425</v>
      </c>
      <c r="AP73" s="62">
        <f t="shared" si="58"/>
        <v>5.9859154929577461</v>
      </c>
      <c r="AQ73" s="64">
        <f t="shared" si="59"/>
        <v>79.717723004694832</v>
      </c>
      <c r="AT73" s="22">
        <f t="shared" si="60"/>
        <v>5.478912100906598</v>
      </c>
      <c r="AU73" s="22">
        <f t="shared" si="61"/>
        <v>291.58833333333405</v>
      </c>
      <c r="AV73" s="22">
        <f>AO93-AO74</f>
        <v>41.666666666666686</v>
      </c>
      <c r="AW73" s="22">
        <f t="shared" si="63"/>
        <v>3.7110269957714479</v>
      </c>
    </row>
    <row r="74" spans="1:49">
      <c r="A74" s="32" t="s">
        <v>60</v>
      </c>
      <c r="B74" s="45" t="s">
        <v>68</v>
      </c>
      <c r="C74" s="50">
        <v>76.099999999999994</v>
      </c>
      <c r="D74" s="2">
        <v>310.51020408163265</v>
      </c>
      <c r="E74" s="2">
        <f t="shared" si="64"/>
        <v>4.080291775054306</v>
      </c>
      <c r="F74" s="2">
        <v>84.803529490101184</v>
      </c>
      <c r="G74" s="2">
        <v>86.181632653061229</v>
      </c>
      <c r="H74" s="2">
        <v>3063.6</v>
      </c>
      <c r="I74" s="2">
        <v>207.58760171309365</v>
      </c>
      <c r="J74" s="45">
        <v>200</v>
      </c>
      <c r="K74" s="45">
        <v>450</v>
      </c>
      <c r="L74" s="45">
        <v>10</v>
      </c>
      <c r="M74" s="45">
        <v>0</v>
      </c>
      <c r="N74" s="45">
        <v>200</v>
      </c>
      <c r="O74" s="45">
        <v>19</v>
      </c>
      <c r="P74" s="61">
        <v>12.85</v>
      </c>
      <c r="Q74" s="62">
        <v>5106</v>
      </c>
      <c r="R74" s="63">
        <f t="shared" si="52"/>
        <v>10</v>
      </c>
      <c r="S74" s="63">
        <f t="shared" si="53"/>
        <v>425</v>
      </c>
      <c r="T74" s="62">
        <f t="shared" si="54"/>
        <v>5.5847568988173464</v>
      </c>
      <c r="U74" s="64">
        <f t="shared" si="55"/>
        <v>67.095926412614986</v>
      </c>
      <c r="W74" s="32" t="s">
        <v>61</v>
      </c>
      <c r="X74" s="45" t="s">
        <v>70</v>
      </c>
      <c r="Y74" s="2">
        <v>61</v>
      </c>
      <c r="Z74" s="2">
        <v>233.47457627118644</v>
      </c>
      <c r="AA74" s="2">
        <f t="shared" si="65"/>
        <v>3.8274520700194499</v>
      </c>
      <c r="AB74" s="2">
        <v>76.325343215096581</v>
      </c>
      <c r="AC74" s="2">
        <v>91.571232249198346</v>
      </c>
      <c r="AD74" s="2">
        <v>2516.2809999999995</v>
      </c>
      <c r="AE74" s="2">
        <v>177.37311178247725</v>
      </c>
      <c r="AF74" s="45">
        <v>200</v>
      </c>
      <c r="AG74" s="45">
        <v>350</v>
      </c>
      <c r="AH74" s="45">
        <v>6</v>
      </c>
      <c r="AI74" s="45">
        <v>30</v>
      </c>
      <c r="AJ74" s="45">
        <v>185</v>
      </c>
      <c r="AK74" s="45">
        <v>19</v>
      </c>
      <c r="AL74" s="61">
        <v>10.7</v>
      </c>
      <c r="AM74" s="62">
        <v>4193.8016666666663</v>
      </c>
      <c r="AN74" s="63">
        <f t="shared" si="56"/>
        <v>6.5</v>
      </c>
      <c r="AO74" s="63">
        <f t="shared" si="57"/>
        <v>337.5</v>
      </c>
      <c r="AP74" s="62">
        <f t="shared" si="58"/>
        <v>5.5327868852459012</v>
      </c>
      <c r="AQ74" s="64">
        <f t="shared" si="59"/>
        <v>68.750846994535507</v>
      </c>
      <c r="AT74" s="22">
        <f t="shared" si="60"/>
        <v>-14.925722306702539</v>
      </c>
      <c r="AU74" s="22">
        <f t="shared" si="61"/>
        <v>-569.48500000000058</v>
      </c>
      <c r="AV74" s="22">
        <f t="shared" si="62"/>
        <v>-25</v>
      </c>
      <c r="AW74" s="22">
        <f t="shared" si="63"/>
        <v>-8.5721324396450171</v>
      </c>
    </row>
    <row r="75" spans="1:49" ht="16" thickBot="1">
      <c r="A75" s="32" t="s">
        <v>60</v>
      </c>
      <c r="B75" s="45" t="s">
        <v>71</v>
      </c>
      <c r="C75" s="50">
        <v>78.099999999999994</v>
      </c>
      <c r="D75" s="2">
        <v>340.33149171270713</v>
      </c>
      <c r="E75" s="2">
        <f t="shared" si="64"/>
        <v>4.3576375379347905</v>
      </c>
      <c r="F75" s="2">
        <v>85.116843541926841</v>
      </c>
      <c r="G75" s="2">
        <v>87.443495730788541</v>
      </c>
      <c r="H75" s="2">
        <v>3389.9860000000003</v>
      </c>
      <c r="I75" s="2">
        <v>232.28664343598203</v>
      </c>
      <c r="J75" s="45">
        <v>200</v>
      </c>
      <c r="K75" s="45">
        <v>500</v>
      </c>
      <c r="L75" s="45">
        <v>12</v>
      </c>
      <c r="M75" s="45">
        <v>0</v>
      </c>
      <c r="N75" s="45">
        <v>187</v>
      </c>
      <c r="O75" s="45">
        <v>19</v>
      </c>
      <c r="P75" s="61">
        <v>13.52</v>
      </c>
      <c r="Q75" s="62">
        <v>5649.9766666666674</v>
      </c>
      <c r="R75" s="63">
        <f t="shared" si="52"/>
        <v>12</v>
      </c>
      <c r="S75" s="63">
        <f t="shared" si="53"/>
        <v>475</v>
      </c>
      <c r="T75" s="62">
        <f t="shared" si="54"/>
        <v>6.0819462227912933</v>
      </c>
      <c r="U75" s="64">
        <f t="shared" si="55"/>
        <v>72.342851045667956</v>
      </c>
      <c r="W75" s="53" t="s">
        <v>61</v>
      </c>
      <c r="X75" s="42" t="s">
        <v>74</v>
      </c>
      <c r="Y75" s="28">
        <v>65.599999999999994</v>
      </c>
      <c r="Z75" s="28">
        <v>273.05825242718447</v>
      </c>
      <c r="AA75" s="28">
        <f>Z75/Y75</f>
        <v>4.1624733601704955</v>
      </c>
      <c r="AB75" s="28">
        <v>78.021933420797467</v>
      </c>
      <c r="AC75" s="28">
        <v>88.229948825864454</v>
      </c>
      <c r="AD75" s="28">
        <v>3152.864</v>
      </c>
      <c r="AE75" s="28">
        <v>202.99461037090848</v>
      </c>
      <c r="AF75" s="42">
        <v>200</v>
      </c>
      <c r="AG75" s="42">
        <v>425</v>
      </c>
      <c r="AH75" s="42">
        <v>9</v>
      </c>
      <c r="AI75" s="42">
        <v>30</v>
      </c>
      <c r="AJ75" s="42">
        <v>203</v>
      </c>
      <c r="AK75" s="42">
        <v>20</v>
      </c>
      <c r="AL75" s="42">
        <v>11.84</v>
      </c>
      <c r="AM75" s="54">
        <v>5254.7733333333335</v>
      </c>
      <c r="AN75" s="28">
        <f t="shared" si="56"/>
        <v>9.5</v>
      </c>
      <c r="AO75" s="28">
        <f t="shared" si="57"/>
        <v>412.5</v>
      </c>
      <c r="AP75" s="54">
        <f t="shared" si="58"/>
        <v>6.2881097560975618</v>
      </c>
      <c r="AQ75" s="55">
        <f t="shared" si="59"/>
        <v>80.103252032520331</v>
      </c>
      <c r="AS75" s="42"/>
      <c r="AT75" s="28">
        <f t="shared" si="60"/>
        <v>0</v>
      </c>
      <c r="AU75" s="28">
        <f t="shared" si="61"/>
        <v>0</v>
      </c>
      <c r="AV75" s="28">
        <f t="shared" si="62"/>
        <v>0</v>
      </c>
      <c r="AW75" s="28">
        <f t="shared" si="63"/>
        <v>0</v>
      </c>
    </row>
    <row r="76" spans="1:49">
      <c r="A76" s="32" t="s">
        <v>60</v>
      </c>
      <c r="B76" s="45" t="s">
        <v>72</v>
      </c>
      <c r="C76" s="50">
        <v>70.900000000000006</v>
      </c>
      <c r="D76" s="2">
        <v>317.55725190839695</v>
      </c>
      <c r="E76" s="2">
        <f t="shared" si="64"/>
        <v>4.4789457250831726</v>
      </c>
      <c r="F76" s="2">
        <v>87.488211031054249</v>
      </c>
      <c r="G76" s="2">
        <v>90.263280884872998</v>
      </c>
      <c r="H76" s="2">
        <v>3024.5509999999999</v>
      </c>
      <c r="I76" s="2">
        <v>210.25362386573622</v>
      </c>
      <c r="J76" s="45">
        <v>200</v>
      </c>
      <c r="K76" s="45">
        <v>450</v>
      </c>
      <c r="L76" s="45">
        <v>10</v>
      </c>
      <c r="M76" s="45">
        <v>0</v>
      </c>
      <c r="N76" s="45">
        <v>196</v>
      </c>
      <c r="O76" s="45">
        <v>19</v>
      </c>
      <c r="P76" s="61">
        <v>15.24</v>
      </c>
      <c r="Q76" s="62">
        <v>5040.9183333333331</v>
      </c>
      <c r="R76" s="63">
        <f t="shared" si="52"/>
        <v>10</v>
      </c>
      <c r="S76" s="63">
        <f t="shared" si="53"/>
        <v>425</v>
      </c>
      <c r="T76" s="62">
        <f t="shared" si="54"/>
        <v>5.994358251057827</v>
      </c>
      <c r="U76" s="64">
        <f t="shared" si="55"/>
        <v>71.098989186647856</v>
      </c>
      <c r="W76" s="26"/>
      <c r="X76" s="45"/>
      <c r="Y76" s="45"/>
      <c r="Z76" s="45"/>
      <c r="AA76" s="109"/>
      <c r="AB76" s="45"/>
      <c r="AQ76" s="45"/>
      <c r="AS76" s="16" t="s">
        <v>76</v>
      </c>
      <c r="AT76" s="116">
        <f>AVERAGE(AT68:AT75)</f>
        <v>-10.600735792448475</v>
      </c>
      <c r="AU76" s="116">
        <f t="shared" ref="AU76:AW76" si="66">AVERAGE(AU68:AU75)</f>
        <v>-103.00145833333318</v>
      </c>
      <c r="AV76" s="116">
        <f t="shared" si="66"/>
        <v>5.15625</v>
      </c>
      <c r="AW76" s="116">
        <f t="shared" si="66"/>
        <v>-1.7219298974572634</v>
      </c>
    </row>
    <row r="77" spans="1:49" ht="16" thickBot="1">
      <c r="A77" s="53" t="s">
        <v>60</v>
      </c>
      <c r="B77" s="42" t="s">
        <v>73</v>
      </c>
      <c r="C77" s="58">
        <v>71.3</v>
      </c>
      <c r="D77" s="28">
        <v>300.11682242990651</v>
      </c>
      <c r="E77" s="28">
        <f>D77/C77</f>
        <v>4.2092120957911154</v>
      </c>
      <c r="F77" s="28">
        <v>78.4762005048715</v>
      </c>
      <c r="G77" s="28">
        <v>86.196167754661147</v>
      </c>
      <c r="H77" s="28">
        <v>3097.9030000000002</v>
      </c>
      <c r="I77" s="28">
        <v>217.64833016470436</v>
      </c>
      <c r="J77" s="42">
        <v>200</v>
      </c>
      <c r="K77" s="42">
        <v>450</v>
      </c>
      <c r="L77" s="42">
        <v>10</v>
      </c>
      <c r="M77" s="42">
        <v>45</v>
      </c>
      <c r="N77" s="42">
        <v>199</v>
      </c>
      <c r="O77" s="42">
        <v>20</v>
      </c>
      <c r="P77" s="42">
        <v>14.73</v>
      </c>
      <c r="Q77" s="54">
        <v>5163.1716666666671</v>
      </c>
      <c r="R77" s="28">
        <f t="shared" si="52"/>
        <v>10.75</v>
      </c>
      <c r="S77" s="28">
        <f t="shared" si="53"/>
        <v>443.75</v>
      </c>
      <c r="T77" s="54">
        <f t="shared" si="54"/>
        <v>6.223702664796634</v>
      </c>
      <c r="U77" s="55">
        <f t="shared" si="55"/>
        <v>72.414749883122965</v>
      </c>
      <c r="W77" s="26"/>
      <c r="AS77" s="16" t="s">
        <v>13</v>
      </c>
      <c r="AT77" s="116">
        <f>STDEVA(AT68:AT75)</f>
        <v>12.734960183747123</v>
      </c>
      <c r="AU77" s="116">
        <f t="shared" ref="AU77:AW77" si="67">STDEVA(AU68:AU75)</f>
        <v>286.0295932109313</v>
      </c>
      <c r="AV77" s="116">
        <f t="shared" si="67"/>
        <v>23.04664169575214</v>
      </c>
      <c r="AW77" s="116">
        <f t="shared" si="67"/>
        <v>4.0160439179018397</v>
      </c>
    </row>
    <row r="78" spans="1:49">
      <c r="A78" s="30"/>
      <c r="B78" s="16" t="s">
        <v>76</v>
      </c>
      <c r="C78" s="36">
        <f>AVERAGE(C69:C77)</f>
        <v>73.133333333333326</v>
      </c>
      <c r="D78" s="36">
        <f t="shared" ref="D78:E78" si="68">AVERAGE(D69:D77)</f>
        <v>320.78363506349706</v>
      </c>
      <c r="E78" s="36">
        <f t="shared" si="68"/>
        <v>4.3770268048200807</v>
      </c>
      <c r="F78" s="36">
        <f t="shared" ref="F78" si="69">AVERAGE(F69:F77)</f>
        <v>85.581259769331766</v>
      </c>
      <c r="G78" s="36">
        <f t="shared" ref="G78" si="70">AVERAGE(G69:G77)</f>
        <v>87.744802501076961</v>
      </c>
      <c r="H78" s="36">
        <f t="shared" ref="H78" si="71">AVERAGE(H69:H77)</f>
        <v>3133.3655555555556</v>
      </c>
      <c r="I78" s="36">
        <f t="shared" ref="I78" si="72">AVERAGE(I69:I77)</f>
        <v>212.12583309498905</v>
      </c>
      <c r="J78" s="36">
        <f t="shared" ref="J78" si="73">AVERAGE(J69:J77)</f>
        <v>211.11111111111111</v>
      </c>
      <c r="K78" s="36">
        <f t="shared" ref="K78" si="74">AVERAGE(K69:K77)</f>
        <v>461.11111111111109</v>
      </c>
      <c r="L78" s="36">
        <f t="shared" ref="L78" si="75">AVERAGE(L69:L77)</f>
        <v>10</v>
      </c>
      <c r="M78" s="36">
        <f t="shared" ref="M78" si="76">AVERAGE(M69:M77)</f>
        <v>13.888888888888889</v>
      </c>
      <c r="N78" s="36">
        <f t="shared" ref="N78" si="77">AVERAGE(N69:N77)</f>
        <v>195.55555555555554</v>
      </c>
      <c r="O78" s="36">
        <f t="shared" ref="O78" si="78">AVERAGE(O69:O77)</f>
        <v>19.222222222222221</v>
      </c>
      <c r="P78" s="36">
        <f t="shared" ref="P78" si="79">AVERAGE(P69:P77)</f>
        <v>12.428888888888888</v>
      </c>
      <c r="Q78" s="36">
        <f t="shared" ref="Q78" si="80">AVERAGE(Q69:Q77)</f>
        <v>5222.2944444444456</v>
      </c>
      <c r="R78" s="38">
        <f t="shared" ref="R78" si="81">AVERAGE(R69:R77)</f>
        <v>10.231481481481481</v>
      </c>
      <c r="S78" s="36">
        <f t="shared" ref="S78" si="82">AVERAGE(S69:S77)</f>
        <v>441.8981481481481</v>
      </c>
      <c r="T78" s="36">
        <f t="shared" ref="T78" si="83">AVERAGE(T69:T77)</f>
        <v>6.0378411020462099</v>
      </c>
      <c r="U78" s="36">
        <f t="shared" ref="U78" si="84">AVERAGE(U69:U77)</f>
        <v>71.334740822222784</v>
      </c>
      <c r="W78" s="26"/>
      <c r="X78" s="16" t="s">
        <v>76</v>
      </c>
      <c r="Y78" s="26">
        <f t="shared" ref="Y78:AP78" si="85">AVERAGE(Y69:Y75)</f>
        <v>73.614285714285714</v>
      </c>
      <c r="Z78" s="26">
        <f t="shared" si="85"/>
        <v>327.59849086331161</v>
      </c>
      <c r="AA78" s="26">
        <f t="shared" ref="AA78" si="86">AVERAGE(AA69:AA75)</f>
        <v>4.4262475855058803</v>
      </c>
      <c r="AB78" s="26">
        <f t="shared" si="85"/>
        <v>80.582913933941995</v>
      </c>
      <c r="AC78" s="26">
        <f t="shared" si="85"/>
        <v>89.609586554646327</v>
      </c>
      <c r="AD78" s="26">
        <f t="shared" si="85"/>
        <v>3237.4599999999996</v>
      </c>
      <c r="AE78" s="26">
        <f t="shared" si="85"/>
        <v>226.73908015884112</v>
      </c>
      <c r="AF78" s="26">
        <f t="shared" si="85"/>
        <v>214.28571428571428</v>
      </c>
      <c r="AG78" s="26">
        <f t="shared" si="85"/>
        <v>457.14285714285717</v>
      </c>
      <c r="AH78" s="26">
        <f t="shared" si="85"/>
        <v>9.7142857142857135</v>
      </c>
      <c r="AI78" s="26">
        <f t="shared" si="85"/>
        <v>17.428571428571427</v>
      </c>
      <c r="AJ78" s="26">
        <f t="shared" si="85"/>
        <v>191.14285714285714</v>
      </c>
      <c r="AK78" s="26">
        <f t="shared" si="85"/>
        <v>19.142857142857142</v>
      </c>
      <c r="AL78" s="26">
        <f t="shared" si="85"/>
        <v>10.882857142857144</v>
      </c>
      <c r="AM78" s="26">
        <f>AVERAGE(AM69:AM75)</f>
        <v>5395.8261904761894</v>
      </c>
      <c r="AN78" s="59">
        <f t="shared" si="85"/>
        <v>10.004761904761905</v>
      </c>
      <c r="AO78" s="26">
        <f>AVERAGE(AO69:AO75)</f>
        <v>439.40476190476193</v>
      </c>
      <c r="AP78" s="26">
        <f t="shared" si="85"/>
        <v>5.9667452787686628</v>
      </c>
      <c r="AQ78" s="26">
        <f>AVERAGE(AQ69:AQ75)</f>
        <v>73.381598391028007</v>
      </c>
      <c r="AS78" s="16" t="s">
        <v>14</v>
      </c>
      <c r="AT78" s="116">
        <f>AT77/SQRT(COUNT(AT68:AT75))</f>
        <v>4.5024883520341357</v>
      </c>
      <c r="AU78" s="116">
        <f t="shared" ref="AU78:AW78" si="87">AU77/SQRT(COUNT(AU68:AU75))</f>
        <v>101.1267324897396</v>
      </c>
      <c r="AV78" s="116">
        <f t="shared" si="87"/>
        <v>8.1482183133214843</v>
      </c>
      <c r="AW78" s="116">
        <f t="shared" si="87"/>
        <v>1.4198859439456906</v>
      </c>
    </row>
    <row r="79" spans="1:49">
      <c r="A79" s="30"/>
      <c r="B79" s="16" t="s">
        <v>13</v>
      </c>
      <c r="C79" s="36">
        <f>STDEVA(C69:C77)</f>
        <v>4.8308901871187233</v>
      </c>
      <c r="D79" s="36">
        <f t="shared" ref="D79:U79" si="88">STDEVA(D69:D77)</f>
        <v>40.946921921779087</v>
      </c>
      <c r="E79" s="36">
        <f t="shared" ref="E79" si="89">STDEVA(E69:E77)</f>
        <v>0.38146913260918047</v>
      </c>
      <c r="F79" s="36">
        <f t="shared" si="88"/>
        <v>3.8723057693880052</v>
      </c>
      <c r="G79" s="36">
        <f t="shared" si="88"/>
        <v>2.982013614953368</v>
      </c>
      <c r="H79" s="36">
        <f t="shared" si="88"/>
        <v>319.03609200767198</v>
      </c>
      <c r="I79" s="36">
        <f t="shared" si="88"/>
        <v>23.454303211798649</v>
      </c>
      <c r="J79" s="36">
        <f t="shared" si="88"/>
        <v>22.047927592204921</v>
      </c>
      <c r="K79" s="36">
        <f t="shared" si="88"/>
        <v>48.591265790377498</v>
      </c>
      <c r="L79" s="36">
        <f t="shared" si="88"/>
        <v>1.4142135623730951</v>
      </c>
      <c r="M79" s="36">
        <f t="shared" si="88"/>
        <v>19.977765418362264</v>
      </c>
      <c r="N79" s="36">
        <f t="shared" si="88"/>
        <v>6.4635731432217716</v>
      </c>
      <c r="O79" s="36">
        <f t="shared" si="88"/>
        <v>0.44095855184409843</v>
      </c>
      <c r="P79" s="36">
        <f t="shared" si="88"/>
        <v>1.9022450186847977</v>
      </c>
      <c r="Q79" s="36">
        <f t="shared" si="88"/>
        <v>531.7057717482636</v>
      </c>
      <c r="R79" s="36">
        <f t="shared" si="88"/>
        <v>1.3332407375254967</v>
      </c>
      <c r="S79" s="36">
        <f t="shared" si="88"/>
        <v>47.700195408146264</v>
      </c>
      <c r="T79" s="36">
        <f t="shared" si="88"/>
        <v>0.45348646982268126</v>
      </c>
      <c r="U79" s="36">
        <f t="shared" si="88"/>
        <v>4.5128996393290066</v>
      </c>
      <c r="W79" s="45"/>
      <c r="X79" s="16" t="s">
        <v>13</v>
      </c>
      <c r="Y79" s="26">
        <f t="shared" ref="Y79:AP79" si="90">STDEVA(Y69:Y75)</f>
        <v>8.9885906517519594</v>
      </c>
      <c r="Z79" s="26">
        <f t="shared" si="90"/>
        <v>66.247903892646121</v>
      </c>
      <c r="AA79" s="26">
        <f t="shared" ref="AA79" si="91">STDEVA(AA69:AA75)</f>
        <v>0.54300113406051354</v>
      </c>
      <c r="AB79" s="26">
        <f t="shared" si="90"/>
        <v>5.7958489288910666</v>
      </c>
      <c r="AC79" s="26">
        <f t="shared" si="90"/>
        <v>1.9713710416899164</v>
      </c>
      <c r="AD79" s="26">
        <f t="shared" si="90"/>
        <v>407.00786804065609</v>
      </c>
      <c r="AE79" s="26">
        <f t="shared" si="90"/>
        <v>38.489179807423746</v>
      </c>
      <c r="AF79" s="26">
        <f t="shared" si="90"/>
        <v>24.397501823713359</v>
      </c>
      <c r="AG79" s="26">
        <f t="shared" si="90"/>
        <v>60.749289629395456</v>
      </c>
      <c r="AH79" s="26">
        <f t="shared" si="90"/>
        <v>2.2886885410853179</v>
      </c>
      <c r="AI79" s="26">
        <f t="shared" si="90"/>
        <v>20.321229809053904</v>
      </c>
      <c r="AJ79" s="26">
        <f t="shared" si="90"/>
        <v>7.010196655077312</v>
      </c>
      <c r="AK79" s="26">
        <f t="shared" si="90"/>
        <v>1.0690449676496976</v>
      </c>
      <c r="AL79" s="26">
        <f t="shared" si="90"/>
        <v>3.1543869678365661</v>
      </c>
      <c r="AM79" s="26">
        <f>STDEVA(AM69:AM75)</f>
        <v>678.40814884082727</v>
      </c>
      <c r="AN79" s="26">
        <f t="shared" si="90"/>
        <v>2.2365175121180205</v>
      </c>
      <c r="AO79" s="26">
        <f t="shared" si="90"/>
        <v>57.453109475116868</v>
      </c>
      <c r="AP79" s="26">
        <f t="shared" si="90"/>
        <v>0.29014682778459272</v>
      </c>
      <c r="AQ79" s="26">
        <f>STDEVA(AQ69:AQ75)</f>
        <v>4.9306918830406126</v>
      </c>
      <c r="AS79" s="111" t="s">
        <v>99</v>
      </c>
      <c r="AT79" s="115">
        <f>(Z97-Z78)/((Z98+Z79)/2)</f>
        <v>-0.19040977942061393</v>
      </c>
      <c r="AU79" s="115">
        <f>(AM97-AM78)/((AM98+AM79)/2)</f>
        <v>-0.19369245817437683</v>
      </c>
      <c r="AV79" s="115">
        <f>(AO97-AO78)/((AO98+AO79)/2)</f>
        <v>0.11112902780073607</v>
      </c>
      <c r="AW79" s="115">
        <f>(AQ97-AQ78)/((AQ98+AQ79)/2)</f>
        <v>-0.44018027695013479</v>
      </c>
    </row>
    <row r="80" spans="1:49">
      <c r="A80" s="30"/>
      <c r="B80" s="16" t="s">
        <v>14</v>
      </c>
      <c r="C80" s="36">
        <f>C79/SQRT(COUNT(C69:C77))</f>
        <v>1.6102967290395744</v>
      </c>
      <c r="D80" s="36">
        <f t="shared" ref="D80:E80" si="92">D79/SQRT(COUNT(D69:D77))</f>
        <v>13.648973973926362</v>
      </c>
      <c r="E80" s="36">
        <f t="shared" si="92"/>
        <v>0.1271563775363935</v>
      </c>
      <c r="F80" s="36">
        <f t="shared" ref="F80" si="93">F79/SQRT(COUNT(F69:F77))</f>
        <v>1.2907685897960017</v>
      </c>
      <c r="G80" s="36">
        <f t="shared" ref="G80" si="94">G79/SQRT(COUNT(G69:G77))</f>
        <v>0.99400453831778934</v>
      </c>
      <c r="H80" s="36">
        <f t="shared" ref="H80" si="95">H79/SQRT(COUNT(H69:H77))</f>
        <v>106.34536400255733</v>
      </c>
      <c r="I80" s="36">
        <f t="shared" ref="I80" si="96">I79/SQRT(COUNT(I69:I77))</f>
        <v>7.8181010705995497</v>
      </c>
      <c r="J80" s="36">
        <f t="shared" ref="J80" si="97">J79/SQRT(COUNT(J69:J77))</f>
        <v>7.3493091974016407</v>
      </c>
      <c r="K80" s="36">
        <f t="shared" ref="K80" si="98">K79/SQRT(COUNT(K69:K77))</f>
        <v>16.197088596792501</v>
      </c>
      <c r="L80" s="36">
        <f t="shared" ref="L80" si="99">L79/SQRT(COUNT(L69:L77))</f>
        <v>0.47140452079103173</v>
      </c>
      <c r="M80" s="36">
        <f t="shared" ref="M80" si="100">M79/SQRT(COUNT(M69:M77))</f>
        <v>6.6592551394540882</v>
      </c>
      <c r="N80" s="36">
        <f t="shared" ref="N80" si="101">N79/SQRT(COUNT(N69:N77))</f>
        <v>2.1545243810739239</v>
      </c>
      <c r="O80" s="36">
        <f t="shared" ref="O80" si="102">O79/SQRT(COUNT(O69:O77))</f>
        <v>0.14698618394803281</v>
      </c>
      <c r="P80" s="36">
        <f t="shared" ref="P80" si="103">P79/SQRT(COUNT(P69:P77))</f>
        <v>0.63408167289493256</v>
      </c>
      <c r="Q80" s="36">
        <f t="shared" ref="Q80" si="104">Q79/SQRT(COUNT(Q69:Q77))</f>
        <v>177.23525724942121</v>
      </c>
      <c r="R80" s="36">
        <f t="shared" ref="R80" si="105">R79/SQRT(COUNT(R69:R77))</f>
        <v>0.44441357917516555</v>
      </c>
      <c r="S80" s="36">
        <f t="shared" ref="S80" si="106">S79/SQRT(COUNT(S69:S77))</f>
        <v>15.900065136048754</v>
      </c>
      <c r="T80" s="36">
        <f t="shared" ref="T80" si="107">T79/SQRT(COUNT(T69:T77))</f>
        <v>0.15116215660756041</v>
      </c>
      <c r="U80" s="36">
        <f t="shared" ref="U80" si="108">U79/SQRT(COUNT(U69:U77))</f>
        <v>1.5042998797763356</v>
      </c>
      <c r="W80" s="45"/>
      <c r="X80" s="16" t="s">
        <v>14</v>
      </c>
      <c r="Y80" s="26">
        <f t="shared" ref="Y80:AP80" si="109">Y79/SQRT(COUNT(Y69:Y75))</f>
        <v>3.3973679287850955</v>
      </c>
      <c r="Z80" s="26">
        <f t="shared" si="109"/>
        <v>25.039354082749924</v>
      </c>
      <c r="AA80" s="26">
        <f t="shared" ref="AA80" si="110">AA79/SQRT(COUNT(AA69:AA75))</f>
        <v>0.20523513747859473</v>
      </c>
      <c r="AB80" s="26">
        <f t="shared" si="109"/>
        <v>2.1906249860494058</v>
      </c>
      <c r="AC80" s="26">
        <f t="shared" si="109"/>
        <v>0.74510821687798057</v>
      </c>
      <c r="AD80" s="26">
        <f t="shared" si="109"/>
        <v>153.83451435459568</v>
      </c>
      <c r="AE80" s="26">
        <f t="shared" si="109"/>
        <v>14.547542562470305</v>
      </c>
      <c r="AF80" s="26">
        <f t="shared" si="109"/>
        <v>9.2213889195414787</v>
      </c>
      <c r="AG80" s="26">
        <f t="shared" si="109"/>
        <v>22.961073240459367</v>
      </c>
      <c r="AH80" s="26">
        <f t="shared" si="109"/>
        <v>0.86504295831356925</v>
      </c>
      <c r="AI80" s="26">
        <f t="shared" si="109"/>
        <v>7.6807029156784576</v>
      </c>
      <c r="AJ80" s="26">
        <f t="shared" si="109"/>
        <v>2.6496052844273437</v>
      </c>
      <c r="AK80" s="26">
        <f t="shared" si="109"/>
        <v>0.40406101782088427</v>
      </c>
      <c r="AL80" s="26">
        <f t="shared" si="109"/>
        <v>1.1922462079655218</v>
      </c>
      <c r="AM80" s="26">
        <f t="shared" si="109"/>
        <v>256.41417846178865</v>
      </c>
      <c r="AN80" s="26">
        <f t="shared" si="109"/>
        <v>0.84532416284359557</v>
      </c>
      <c r="AO80" s="26">
        <f t="shared" si="109"/>
        <v>21.715234245503986</v>
      </c>
      <c r="AP80" s="26">
        <f t="shared" si="109"/>
        <v>0.1096651928589026</v>
      </c>
      <c r="AQ80" s="26">
        <f>AQ79/SQRT(COUNT(AQ69:AQ75))</f>
        <v>1.8636263591443194</v>
      </c>
      <c r="AS80" s="111" t="s">
        <v>100</v>
      </c>
      <c r="AT80" s="117">
        <f>SQRT((((7-1)*(Z79^2)+((9-1)*D79^2))/(9+7-2)))</f>
        <v>53.282208193704534</v>
      </c>
      <c r="AU80" s="117">
        <f>SQRT((((7-1)*(AM79^2)+((9-1)*Q79^2))/(9+7-2)))</f>
        <v>598.99403289212205</v>
      </c>
      <c r="AV80" s="117">
        <f>SQRT((((7-1)*(AO79^2)+((9-1)*S79^2))/(9+7-2)))</f>
        <v>52.104035945926277</v>
      </c>
      <c r="AW80" s="117">
        <f>SQRT((((7-1)*(AQ79^2)+((9-1)*U79^2))/(9+7-2)))</f>
        <v>4.6965066037743295</v>
      </c>
    </row>
    <row r="81" spans="1:49">
      <c r="A81" s="30"/>
      <c r="B81" s="17" t="s">
        <v>96</v>
      </c>
      <c r="C81" s="17">
        <f t="shared" ref="C81:U81" si="111">TTEST(C69:C77,Y69:Y75,2,2)</f>
        <v>0.89235725722297743</v>
      </c>
      <c r="D81" s="17">
        <f t="shared" si="111"/>
        <v>0.80334251943617441</v>
      </c>
      <c r="E81" s="17">
        <f t="shared" si="111"/>
        <v>0.83410875804757167</v>
      </c>
      <c r="F81" s="17">
        <f t="shared" si="111"/>
        <v>5.7460765411557035E-2</v>
      </c>
      <c r="G81" s="17">
        <f t="shared" si="111"/>
        <v>0.17618871941291689</v>
      </c>
      <c r="H81" s="17">
        <f t="shared" si="111"/>
        <v>0.57458168683421884</v>
      </c>
      <c r="I81" s="17">
        <f t="shared" si="111"/>
        <v>0.36257372849190528</v>
      </c>
      <c r="J81" s="17">
        <f t="shared" si="111"/>
        <v>0.78892298052226228</v>
      </c>
      <c r="K81" s="17">
        <f t="shared" si="111"/>
        <v>0.88642894581311604</v>
      </c>
      <c r="L81" s="17">
        <f t="shared" si="111"/>
        <v>0.76259832880532197</v>
      </c>
      <c r="M81" s="17">
        <f t="shared" si="111"/>
        <v>0.73228345584293519</v>
      </c>
      <c r="N81" s="17">
        <f t="shared" si="111"/>
        <v>0.21252233131554218</v>
      </c>
      <c r="O81" s="17">
        <f t="shared" si="111"/>
        <v>0.84193387485958837</v>
      </c>
      <c r="P81" s="17">
        <f t="shared" si="111"/>
        <v>0.24293267845926869</v>
      </c>
      <c r="Q81" s="17">
        <f t="shared" si="111"/>
        <v>0.57450447397254001</v>
      </c>
      <c r="R81" s="17">
        <f t="shared" si="111"/>
        <v>0.8038689975750849</v>
      </c>
      <c r="S81" s="17">
        <f t="shared" si="111"/>
        <v>0.92569446986473336</v>
      </c>
      <c r="T81" s="17">
        <f t="shared" si="111"/>
        <v>0.72424108327722592</v>
      </c>
      <c r="U81" s="17">
        <f t="shared" si="111"/>
        <v>0.40171646861602539</v>
      </c>
      <c r="W81" s="45"/>
      <c r="X81" s="45"/>
      <c r="Y81" s="45"/>
      <c r="Z81" s="45"/>
      <c r="AA81" s="109"/>
      <c r="AB81" s="45"/>
      <c r="AQ81" s="45"/>
      <c r="AS81" s="111" t="s">
        <v>101</v>
      </c>
      <c r="AT81" s="115">
        <f>(AT76-AT97)/AT80</f>
        <v>4.6052182399991697E-2</v>
      </c>
      <c r="AU81" s="115">
        <f>(AU76-AU97)/AU80</f>
        <v>-0.19503251079334977</v>
      </c>
      <c r="AV81" s="115">
        <f>(AV76-AV97)/AV80</f>
        <v>0.13805623511587956</v>
      </c>
      <c r="AW81" s="115">
        <f>(AW76-AW97)/AW80</f>
        <v>-0.28944203198545271</v>
      </c>
    </row>
    <row r="82" spans="1:49">
      <c r="A82" s="30"/>
      <c r="W82" s="45"/>
      <c r="X82" s="45"/>
      <c r="Y82" s="45"/>
      <c r="Z82" s="45"/>
      <c r="AA82" s="109"/>
      <c r="AB82" s="45"/>
      <c r="AQ82" s="45"/>
    </row>
    <row r="83" spans="1:49" ht="16" thickBot="1">
      <c r="A83" s="30"/>
      <c r="W83" s="45"/>
      <c r="X83" s="45"/>
      <c r="Y83" s="45"/>
      <c r="Z83" s="45"/>
      <c r="AA83" s="109"/>
      <c r="AB83" s="45"/>
      <c r="AQ83" s="45"/>
    </row>
    <row r="84" spans="1:49">
      <c r="A84" s="1358" t="s">
        <v>50</v>
      </c>
      <c r="B84" s="1359"/>
      <c r="C84" s="1359"/>
      <c r="D84" s="1359"/>
      <c r="E84" s="1359"/>
      <c r="F84" s="1359"/>
      <c r="G84" s="1359"/>
      <c r="H84" s="1359"/>
      <c r="I84" s="1359"/>
      <c r="J84" s="1359"/>
      <c r="K84" s="1359"/>
      <c r="L84" s="1359"/>
      <c r="M84" s="1359"/>
      <c r="N84" s="1359"/>
      <c r="O84" s="1359"/>
      <c r="P84" s="1359"/>
      <c r="Q84" s="1359"/>
      <c r="R84" s="1359"/>
      <c r="S84" s="1359"/>
      <c r="T84" s="1359"/>
      <c r="U84" s="1360"/>
      <c r="W84" s="1358" t="s">
        <v>50</v>
      </c>
      <c r="X84" s="1359"/>
      <c r="Y84" s="1359"/>
      <c r="Z84" s="1359"/>
      <c r="AA84" s="1359"/>
      <c r="AB84" s="1359"/>
      <c r="AC84" s="1359"/>
      <c r="AD84" s="1359"/>
      <c r="AE84" s="1359"/>
      <c r="AF84" s="1359"/>
      <c r="AG84" s="1359"/>
      <c r="AH84" s="1359"/>
      <c r="AI84" s="1359"/>
      <c r="AJ84" s="1359"/>
      <c r="AK84" s="1359"/>
      <c r="AL84" s="1359"/>
      <c r="AM84" s="1359"/>
      <c r="AN84" s="1359"/>
      <c r="AO84" s="1359"/>
      <c r="AP84" s="1359"/>
      <c r="AQ84" s="1360"/>
      <c r="AT84" s="1364" t="s">
        <v>98</v>
      </c>
      <c r="AU84" s="1365"/>
      <c r="AV84" s="1365"/>
      <c r="AW84" s="1366"/>
    </row>
    <row r="85" spans="1:49" ht="16" thickBot="1">
      <c r="A85" s="1361"/>
      <c r="B85" s="1362"/>
      <c r="C85" s="1362"/>
      <c r="D85" s="1362"/>
      <c r="E85" s="1362"/>
      <c r="F85" s="1362"/>
      <c r="G85" s="1362"/>
      <c r="H85" s="1362"/>
      <c r="I85" s="1362"/>
      <c r="J85" s="1362"/>
      <c r="K85" s="1362"/>
      <c r="L85" s="1362"/>
      <c r="M85" s="1362"/>
      <c r="N85" s="1362"/>
      <c r="O85" s="1362"/>
      <c r="P85" s="1362"/>
      <c r="Q85" s="1362"/>
      <c r="R85" s="1362"/>
      <c r="S85" s="1362"/>
      <c r="T85" s="1362"/>
      <c r="U85" s="1363"/>
      <c r="W85" s="1361"/>
      <c r="X85" s="1362"/>
      <c r="Y85" s="1362"/>
      <c r="Z85" s="1362"/>
      <c r="AA85" s="1362"/>
      <c r="AB85" s="1362"/>
      <c r="AC85" s="1362"/>
      <c r="AD85" s="1362"/>
      <c r="AE85" s="1362"/>
      <c r="AF85" s="1362"/>
      <c r="AG85" s="1362"/>
      <c r="AH85" s="1362"/>
      <c r="AI85" s="1362"/>
      <c r="AJ85" s="1362"/>
      <c r="AK85" s="1362"/>
      <c r="AL85" s="1362"/>
      <c r="AM85" s="1362"/>
      <c r="AN85" s="1362"/>
      <c r="AO85" s="1362"/>
      <c r="AP85" s="1362"/>
      <c r="AQ85" s="1363"/>
      <c r="AT85" s="1367"/>
      <c r="AU85" s="1368"/>
      <c r="AV85" s="1368"/>
      <c r="AW85" s="1369"/>
    </row>
    <row r="86" spans="1:49">
      <c r="A86" s="1335" t="s">
        <v>77</v>
      </c>
      <c r="B86" s="45"/>
      <c r="C86" s="45" t="s">
        <v>31</v>
      </c>
      <c r="D86" s="45" t="s">
        <v>32</v>
      </c>
      <c r="E86" s="109" t="s">
        <v>32</v>
      </c>
      <c r="F86" s="45" t="s">
        <v>33</v>
      </c>
      <c r="G86" s="45" t="s">
        <v>81</v>
      </c>
      <c r="H86" s="45" t="s">
        <v>35</v>
      </c>
      <c r="I86" s="45" t="s">
        <v>35</v>
      </c>
      <c r="J86" s="45" t="s">
        <v>4</v>
      </c>
      <c r="K86" s="45" t="s">
        <v>5</v>
      </c>
      <c r="L86" s="1356" t="s">
        <v>39</v>
      </c>
      <c r="M86" s="1356"/>
      <c r="N86" s="45" t="s">
        <v>79</v>
      </c>
      <c r="O86" s="45" t="s">
        <v>40</v>
      </c>
      <c r="P86" s="45" t="s">
        <v>7</v>
      </c>
      <c r="Q86" s="45" t="s">
        <v>23</v>
      </c>
      <c r="R86" s="45" t="s">
        <v>17</v>
      </c>
      <c r="S86" s="45" t="s">
        <v>16</v>
      </c>
      <c r="T86" s="45" t="s">
        <v>22</v>
      </c>
      <c r="U86" s="4" t="s">
        <v>15</v>
      </c>
      <c r="V86" s="25"/>
      <c r="W86" s="1344" t="s">
        <v>77</v>
      </c>
      <c r="X86" s="44"/>
      <c r="Y86" s="44" t="s">
        <v>31</v>
      </c>
      <c r="Z86" s="44" t="s">
        <v>32</v>
      </c>
      <c r="AA86" s="109" t="s">
        <v>32</v>
      </c>
      <c r="AB86" s="44" t="s">
        <v>33</v>
      </c>
      <c r="AC86" s="44" t="s">
        <v>81</v>
      </c>
      <c r="AD86" s="44" t="s">
        <v>35</v>
      </c>
      <c r="AE86" s="44" t="s">
        <v>35</v>
      </c>
      <c r="AF86" s="44" t="s">
        <v>4</v>
      </c>
      <c r="AG86" s="44" t="s">
        <v>5</v>
      </c>
      <c r="AH86" s="1337" t="s">
        <v>39</v>
      </c>
      <c r="AI86" s="1337"/>
      <c r="AJ86" s="44" t="s">
        <v>6</v>
      </c>
      <c r="AK86" s="44" t="s">
        <v>40</v>
      </c>
      <c r="AL86" s="44" t="s">
        <v>7</v>
      </c>
      <c r="AM86" s="44" t="s">
        <v>23</v>
      </c>
      <c r="AN86" s="44" t="s">
        <v>17</v>
      </c>
      <c r="AO86" s="44" t="s">
        <v>16</v>
      </c>
      <c r="AP86" s="44" t="s">
        <v>22</v>
      </c>
      <c r="AQ86" s="5" t="s">
        <v>15</v>
      </c>
      <c r="AT86" s="107" t="s">
        <v>32</v>
      </c>
      <c r="AU86" s="107" t="s">
        <v>23</v>
      </c>
      <c r="AV86" s="107" t="s">
        <v>16</v>
      </c>
      <c r="AW86" s="5" t="s">
        <v>15</v>
      </c>
    </row>
    <row r="87" spans="1:49" ht="16" thickBot="1">
      <c r="A87" s="1336"/>
      <c r="B87" s="42"/>
      <c r="C87" s="42" t="s">
        <v>2</v>
      </c>
      <c r="D87" s="42" t="s">
        <v>20</v>
      </c>
      <c r="E87" s="42" t="s">
        <v>21</v>
      </c>
      <c r="F87" s="42" t="s">
        <v>36</v>
      </c>
      <c r="G87" s="42" t="s">
        <v>36</v>
      </c>
      <c r="H87" s="42" t="s">
        <v>42</v>
      </c>
      <c r="I87" s="42" t="s">
        <v>20</v>
      </c>
      <c r="J87" s="42" t="s">
        <v>3</v>
      </c>
      <c r="K87" s="42" t="s">
        <v>3</v>
      </c>
      <c r="L87" s="42" t="s">
        <v>8</v>
      </c>
      <c r="M87" s="42" t="s">
        <v>9</v>
      </c>
      <c r="N87" s="42" t="s">
        <v>10</v>
      </c>
      <c r="O87" s="42" t="s">
        <v>41</v>
      </c>
      <c r="P87" s="42" t="s">
        <v>11</v>
      </c>
      <c r="Q87" s="42" t="s">
        <v>0</v>
      </c>
      <c r="R87" s="42" t="s">
        <v>18</v>
      </c>
      <c r="S87" s="42" t="s">
        <v>3</v>
      </c>
      <c r="T87" s="42" t="s">
        <v>21</v>
      </c>
      <c r="U87" s="43" t="s">
        <v>1</v>
      </c>
      <c r="V87" s="25"/>
      <c r="W87" s="1336"/>
      <c r="X87" s="42"/>
      <c r="Y87" s="42" t="s">
        <v>2</v>
      </c>
      <c r="Z87" s="42" t="s">
        <v>20</v>
      </c>
      <c r="AA87" s="42" t="s">
        <v>21</v>
      </c>
      <c r="AB87" s="42" t="s">
        <v>36</v>
      </c>
      <c r="AC87" s="42" t="s">
        <v>36</v>
      </c>
      <c r="AD87" s="42" t="s">
        <v>42</v>
      </c>
      <c r="AE87" s="42" t="s">
        <v>20</v>
      </c>
      <c r="AF87" s="42" t="s">
        <v>3</v>
      </c>
      <c r="AG87" s="42" t="s">
        <v>3</v>
      </c>
      <c r="AH87" s="42" t="s">
        <v>8</v>
      </c>
      <c r="AI87" s="42" t="s">
        <v>9</v>
      </c>
      <c r="AJ87" s="42" t="s">
        <v>10</v>
      </c>
      <c r="AK87" s="42" t="s">
        <v>41</v>
      </c>
      <c r="AL87" s="42" t="s">
        <v>11</v>
      </c>
      <c r="AM87" s="42" t="s">
        <v>0</v>
      </c>
      <c r="AN87" s="42" t="s">
        <v>18</v>
      </c>
      <c r="AO87" s="42" t="s">
        <v>3</v>
      </c>
      <c r="AP87" s="42" t="s">
        <v>21</v>
      </c>
      <c r="AQ87" s="43" t="s">
        <v>1</v>
      </c>
      <c r="AT87" s="22">
        <f>D88-D69</f>
        <v>-7.0905993655322845</v>
      </c>
      <c r="AU87" s="22">
        <f t="shared" ref="AU87:AU96" si="112">Q88-Q69</f>
        <v>201.41666666666697</v>
      </c>
      <c r="AV87" s="22">
        <f t="shared" ref="AV87:AV96" si="113">S88-S69</f>
        <v>-13.750000000000057</v>
      </c>
      <c r="AW87" s="22">
        <f t="shared" ref="AW87:AW96" si="114">U88-U69</f>
        <v>1.8585594420834752</v>
      </c>
    </row>
    <row r="88" spans="1:49">
      <c r="A88" s="32" t="s">
        <v>60</v>
      </c>
      <c r="B88" s="45" t="s">
        <v>57</v>
      </c>
      <c r="C88" s="2">
        <v>80.5</v>
      </c>
      <c r="D88" s="2">
        <v>377.11598746081501</v>
      </c>
      <c r="E88" s="2">
        <f>D88/C88</f>
        <v>4.684670651687143</v>
      </c>
      <c r="F88" s="2">
        <v>84.57184150307117</v>
      </c>
      <c r="G88" s="2">
        <v>90.691163897876052</v>
      </c>
      <c r="H88" s="2">
        <v>3664.15</v>
      </c>
      <c r="I88" s="2">
        <v>245.17400667737087</v>
      </c>
      <c r="J88" s="45">
        <v>250</v>
      </c>
      <c r="K88" s="45">
        <v>525</v>
      </c>
      <c r="L88" s="45">
        <v>11</v>
      </c>
      <c r="M88" s="45">
        <v>5</v>
      </c>
      <c r="N88" s="45">
        <v>187</v>
      </c>
      <c r="O88" s="45">
        <v>18</v>
      </c>
      <c r="P88" s="45">
        <v>10.44</v>
      </c>
      <c r="Q88" s="2">
        <v>6106.916666666667</v>
      </c>
      <c r="R88" s="2">
        <f t="shared" ref="R88:R96" si="115">L88+M88/60</f>
        <v>11.083333333333334</v>
      </c>
      <c r="S88" s="2">
        <f t="shared" ref="S88:S96" si="116">(K88-25)+((M88/60)*25)</f>
        <v>502.08333333333331</v>
      </c>
      <c r="T88" s="23">
        <f t="shared" ref="T88:T96" si="117">S88/C88</f>
        <v>6.237060041407867</v>
      </c>
      <c r="U88" s="24">
        <f t="shared" ref="U88:U96" si="118">Q88/C88</f>
        <v>75.862318840579718</v>
      </c>
      <c r="V88" s="25"/>
      <c r="W88" s="89" t="s">
        <v>61</v>
      </c>
      <c r="X88" s="44" t="s">
        <v>58</v>
      </c>
      <c r="Y88" s="20">
        <v>74.8</v>
      </c>
      <c r="Z88" s="20">
        <v>291.61807580174928</v>
      </c>
      <c r="AA88" s="2">
        <f>Z88/Y88</f>
        <v>3.8986373770287339</v>
      </c>
      <c r="AB88" s="20">
        <v>77.693843603937594</v>
      </c>
      <c r="AC88" s="20">
        <v>87.617989204168225</v>
      </c>
      <c r="AD88" s="20">
        <v>3202.35</v>
      </c>
      <c r="AE88" s="20">
        <v>212.00688562611546</v>
      </c>
      <c r="AF88" s="44">
        <v>200</v>
      </c>
      <c r="AG88" s="44">
        <v>475</v>
      </c>
      <c r="AH88" s="44">
        <v>11</v>
      </c>
      <c r="AI88" s="44">
        <v>22</v>
      </c>
      <c r="AJ88" s="44">
        <v>202</v>
      </c>
      <c r="AK88" s="44">
        <v>20</v>
      </c>
      <c r="AL88" s="44">
        <v>16.489999999999998</v>
      </c>
      <c r="AM88" s="20">
        <v>5337.25</v>
      </c>
      <c r="AN88" s="20">
        <f t="shared" ref="AN88:AN94" si="119">AH88+AI88/60</f>
        <v>11.366666666666667</v>
      </c>
      <c r="AO88" s="20">
        <f t="shared" ref="AO88:AO94" si="120">(AG88-25)+((AI88/60)*25)</f>
        <v>459.16666666666669</v>
      </c>
      <c r="AP88" s="21">
        <f t="shared" ref="AP88:AP94" si="121">AO88/Y88</f>
        <v>6.1385918003565063</v>
      </c>
      <c r="AQ88" s="57">
        <f t="shared" ref="AQ88:AQ94" si="122">AM88/Y88</f>
        <v>71.353609625668454</v>
      </c>
      <c r="AT88" s="22">
        <f t="shared" ref="AT88:AT96" si="123">D89-D70</f>
        <v>-42.212522241992929</v>
      </c>
      <c r="AU88" s="22">
        <f t="shared" si="112"/>
        <v>-501.66666666666606</v>
      </c>
      <c r="AV88" s="22">
        <f t="shared" si="113"/>
        <v>-50</v>
      </c>
      <c r="AW88" s="22">
        <f t="shared" si="114"/>
        <v>-6.4554535135093118</v>
      </c>
    </row>
    <row r="89" spans="1:49">
      <c r="A89" s="32" t="s">
        <v>60</v>
      </c>
      <c r="B89" s="45" t="s">
        <v>59</v>
      </c>
      <c r="C89" s="2">
        <v>71.599999999999994</v>
      </c>
      <c r="D89" s="2">
        <v>313.25622775800713</v>
      </c>
      <c r="E89" s="2">
        <f>D89/C89</f>
        <v>4.375086979860435</v>
      </c>
      <c r="F89" s="2">
        <v>84.446079391957099</v>
      </c>
      <c r="G89" s="2">
        <v>86.112054936604736</v>
      </c>
      <c r="H89" s="2">
        <v>3112.75</v>
      </c>
      <c r="I89" s="2">
        <v>208.6534606371666</v>
      </c>
      <c r="J89" s="45">
        <v>250</v>
      </c>
      <c r="K89" s="45">
        <v>475</v>
      </c>
      <c r="L89" s="45">
        <v>9</v>
      </c>
      <c r="M89" s="45">
        <v>0</v>
      </c>
      <c r="N89" s="45">
        <v>199</v>
      </c>
      <c r="O89" s="45">
        <v>20</v>
      </c>
      <c r="P89" s="45">
        <v>9.76</v>
      </c>
      <c r="Q89" s="23">
        <v>5187.916666666667</v>
      </c>
      <c r="R89" s="2">
        <f t="shared" si="115"/>
        <v>9</v>
      </c>
      <c r="S89" s="2">
        <f t="shared" si="116"/>
        <v>450</v>
      </c>
      <c r="T89" s="23">
        <f t="shared" si="117"/>
        <v>6.2849162011173192</v>
      </c>
      <c r="U89" s="24">
        <f t="shared" si="118"/>
        <v>72.456936685288653</v>
      </c>
      <c r="W89" s="32" t="s">
        <v>61</v>
      </c>
      <c r="X89" s="45" t="s">
        <v>63</v>
      </c>
      <c r="Y89" s="2">
        <v>74.2</v>
      </c>
      <c r="Z89" s="2">
        <v>293.05555555555554</v>
      </c>
      <c r="AA89" s="2">
        <f>Z89/Y89</f>
        <v>3.9495357891584302</v>
      </c>
      <c r="AB89" s="2">
        <v>80.679965102673179</v>
      </c>
      <c r="AC89" s="2">
        <v>90.234822451317285</v>
      </c>
      <c r="AD89" s="2">
        <v>3097.7</v>
      </c>
      <c r="AE89" s="2">
        <v>205.93343385515985</v>
      </c>
      <c r="AF89" s="45">
        <v>200</v>
      </c>
      <c r="AG89" s="45">
        <v>450</v>
      </c>
      <c r="AH89" s="45">
        <v>10</v>
      </c>
      <c r="AI89" s="45">
        <v>14</v>
      </c>
      <c r="AJ89" s="45">
        <v>194</v>
      </c>
      <c r="AK89" s="45">
        <v>19</v>
      </c>
      <c r="AL89" s="45">
        <v>12.29</v>
      </c>
      <c r="AM89" s="23">
        <v>5162.833333333333</v>
      </c>
      <c r="AN89" s="2">
        <f t="shared" si="119"/>
        <v>10.233333333333333</v>
      </c>
      <c r="AO89" s="2">
        <f t="shared" si="120"/>
        <v>430.83333333333331</v>
      </c>
      <c r="AP89" s="23">
        <f t="shared" si="121"/>
        <v>5.8063791554357591</v>
      </c>
      <c r="AQ89" s="24">
        <f t="shared" si="122"/>
        <v>69.579964061096135</v>
      </c>
      <c r="AT89" s="22">
        <f t="shared" si="123"/>
        <v>1.4333333333333371</v>
      </c>
      <c r="AU89" s="22">
        <f t="shared" si="112"/>
        <v>-8.5833333333339397</v>
      </c>
      <c r="AV89" s="22">
        <f t="shared" si="113"/>
        <v>10.833333333333314</v>
      </c>
      <c r="AW89" s="22">
        <f t="shared" si="114"/>
        <v>-1.4147827833897964</v>
      </c>
    </row>
    <row r="90" spans="1:49">
      <c r="A90" s="32" t="s">
        <v>60</v>
      </c>
      <c r="B90" s="45" t="s">
        <v>62</v>
      </c>
      <c r="C90" s="2">
        <v>74.3</v>
      </c>
      <c r="D90" s="2">
        <v>283.33333333333331</v>
      </c>
      <c r="E90" s="2">
        <f t="shared" ref="E90:E95" si="124">D90/C90</f>
        <v>3.813369223867205</v>
      </c>
      <c r="F90" s="2">
        <v>81.244523477672047</v>
      </c>
      <c r="G90" s="2">
        <v>91.013071895424829</v>
      </c>
      <c r="H90" s="2">
        <v>2805.95</v>
      </c>
      <c r="I90" s="2">
        <v>196.65112697657534</v>
      </c>
      <c r="J90" s="45">
        <v>200</v>
      </c>
      <c r="K90" s="45">
        <v>425</v>
      </c>
      <c r="L90" s="45">
        <v>9</v>
      </c>
      <c r="M90" s="45">
        <v>30</v>
      </c>
      <c r="N90" s="45">
        <v>204</v>
      </c>
      <c r="O90" s="45">
        <v>19</v>
      </c>
      <c r="P90" s="45">
        <v>10.11</v>
      </c>
      <c r="Q90" s="23">
        <v>4676.583333333333</v>
      </c>
      <c r="R90" s="2">
        <f t="shared" si="115"/>
        <v>9.5</v>
      </c>
      <c r="S90" s="2">
        <f t="shared" si="116"/>
        <v>412.5</v>
      </c>
      <c r="T90" s="23">
        <f t="shared" si="117"/>
        <v>5.5518169582772545</v>
      </c>
      <c r="U90" s="24">
        <f t="shared" si="118"/>
        <v>62.941902198295196</v>
      </c>
      <c r="W90" s="32" t="s">
        <v>61</v>
      </c>
      <c r="X90" s="45" t="s">
        <v>65</v>
      </c>
      <c r="Y90" s="2">
        <v>85.9</v>
      </c>
      <c r="Z90" s="2">
        <v>401.0204081632653</v>
      </c>
      <c r="AA90" s="2">
        <f t="shared" ref="AA90:AA93" si="125">Z90/Y90</f>
        <v>4.6684564396189208</v>
      </c>
      <c r="AB90" s="2">
        <v>86.976135978920169</v>
      </c>
      <c r="AC90" s="2">
        <v>91.027810087765687</v>
      </c>
      <c r="AD90" s="2">
        <v>3528.7999999999997</v>
      </c>
      <c r="AE90" s="2">
        <v>250.2382132969712</v>
      </c>
      <c r="AF90" s="45">
        <v>250</v>
      </c>
      <c r="AG90" s="45">
        <v>500</v>
      </c>
      <c r="AH90" s="45">
        <v>10</v>
      </c>
      <c r="AI90" s="45">
        <v>55</v>
      </c>
      <c r="AJ90" s="45">
        <v>193</v>
      </c>
      <c r="AK90" s="45">
        <v>18</v>
      </c>
      <c r="AL90" s="45">
        <v>7.63</v>
      </c>
      <c r="AM90" s="23">
        <v>5881.333333333333</v>
      </c>
      <c r="AN90" s="2">
        <f t="shared" si="119"/>
        <v>10.916666666666666</v>
      </c>
      <c r="AO90" s="2">
        <f t="shared" si="120"/>
        <v>497.91666666666669</v>
      </c>
      <c r="AP90" s="23">
        <f t="shared" si="121"/>
        <v>5.7964687621265032</v>
      </c>
      <c r="AQ90" s="24">
        <f t="shared" si="122"/>
        <v>68.467209934031814</v>
      </c>
      <c r="AT90" s="22">
        <f t="shared" si="123"/>
        <v>-13.620575348783547</v>
      </c>
      <c r="AU90" s="22">
        <f t="shared" si="112"/>
        <v>-19.66666666666697</v>
      </c>
      <c r="AV90" s="22">
        <f t="shared" si="113"/>
        <v>9.5833333333333712</v>
      </c>
      <c r="AW90" s="22">
        <f t="shared" si="114"/>
        <v>-1.351184490713365</v>
      </c>
    </row>
    <row r="91" spans="1:49">
      <c r="A91" s="32" t="s">
        <v>60</v>
      </c>
      <c r="B91" s="45" t="s">
        <v>64</v>
      </c>
      <c r="C91" s="2">
        <v>64.2</v>
      </c>
      <c r="D91" s="2">
        <v>236.09693877551024</v>
      </c>
      <c r="E91" s="2">
        <f t="shared" si="124"/>
        <v>3.6775224108334927</v>
      </c>
      <c r="F91" s="2">
        <v>80.021373656017332</v>
      </c>
      <c r="G91" s="2">
        <v>86.941326530612244</v>
      </c>
      <c r="H91" s="2">
        <v>2531.85</v>
      </c>
      <c r="I91" s="2">
        <v>169.10139790392398</v>
      </c>
      <c r="J91" s="45">
        <v>200</v>
      </c>
      <c r="K91" s="45">
        <v>400</v>
      </c>
      <c r="L91" s="45">
        <v>8</v>
      </c>
      <c r="M91" s="45">
        <v>1</v>
      </c>
      <c r="N91" s="45">
        <v>200</v>
      </c>
      <c r="O91" s="45">
        <v>20</v>
      </c>
      <c r="P91" s="45">
        <v>14.6</v>
      </c>
      <c r="Q91" s="23">
        <v>4219.75</v>
      </c>
      <c r="R91" s="2">
        <f t="shared" si="115"/>
        <v>8.0166666666666675</v>
      </c>
      <c r="S91" s="2">
        <f t="shared" si="116"/>
        <v>375.41666666666669</v>
      </c>
      <c r="T91" s="23">
        <f t="shared" si="117"/>
        <v>5.8476116303219108</v>
      </c>
      <c r="U91" s="24">
        <f t="shared" si="118"/>
        <v>65.728193146417439</v>
      </c>
      <c r="W91" s="33" t="s">
        <v>61</v>
      </c>
      <c r="X91" s="45" t="s">
        <v>66</v>
      </c>
      <c r="Y91" s="2">
        <v>86.4</v>
      </c>
      <c r="Z91" s="2">
        <v>375.38610038610034</v>
      </c>
      <c r="AA91" s="2">
        <f t="shared" si="125"/>
        <v>4.3447465322465311</v>
      </c>
      <c r="AB91" s="2">
        <v>91.904545015682501</v>
      </c>
      <c r="AC91" s="2">
        <v>90.432143373319846</v>
      </c>
      <c r="AD91" s="2">
        <v>3476.5</v>
      </c>
      <c r="AE91" s="2">
        <v>234.70563257563225</v>
      </c>
      <c r="AF91" s="45">
        <v>250</v>
      </c>
      <c r="AG91" s="45">
        <v>525</v>
      </c>
      <c r="AH91" s="45">
        <v>11</v>
      </c>
      <c r="AI91" s="45">
        <v>0</v>
      </c>
      <c r="AJ91" s="45">
        <v>187</v>
      </c>
      <c r="AK91" s="45">
        <v>18</v>
      </c>
      <c r="AM91" s="23">
        <v>5794.166666666667</v>
      </c>
      <c r="AN91" s="2">
        <f t="shared" si="119"/>
        <v>11</v>
      </c>
      <c r="AO91" s="2">
        <f t="shared" si="120"/>
        <v>500</v>
      </c>
      <c r="AP91" s="23">
        <f t="shared" si="121"/>
        <v>5.7870370370370363</v>
      </c>
      <c r="AQ91" s="24">
        <f t="shared" si="122"/>
        <v>67.06211419753086</v>
      </c>
      <c r="AT91" s="22">
        <f t="shared" si="123"/>
        <v>-18.209006768890674</v>
      </c>
      <c r="AU91" s="22">
        <f t="shared" si="112"/>
        <v>-131.91666666666697</v>
      </c>
      <c r="AV91" s="22">
        <f t="shared" si="113"/>
        <v>-25</v>
      </c>
      <c r="AW91" s="22">
        <f t="shared" si="114"/>
        <v>-1.9818927719005899</v>
      </c>
    </row>
    <row r="92" spans="1:49">
      <c r="A92" s="33" t="s">
        <v>60</v>
      </c>
      <c r="B92" s="45" t="s">
        <v>67</v>
      </c>
      <c r="C92" s="2">
        <v>74.099999999999994</v>
      </c>
      <c r="D92" s="2">
        <v>329.03508771929825</v>
      </c>
      <c r="E92" s="2">
        <f t="shared" si="124"/>
        <v>4.4404195373724464</v>
      </c>
      <c r="F92" s="2">
        <v>84.652734577602189</v>
      </c>
      <c r="G92" s="2">
        <v>88.210882536289958</v>
      </c>
      <c r="H92" s="2">
        <v>3233.4</v>
      </c>
      <c r="I92" s="2">
        <v>225.35577132877251</v>
      </c>
      <c r="J92" s="45">
        <v>200</v>
      </c>
      <c r="K92" s="45">
        <v>425</v>
      </c>
      <c r="L92" s="45">
        <v>9</v>
      </c>
      <c r="M92" s="45">
        <v>0</v>
      </c>
      <c r="N92" s="45">
        <v>197</v>
      </c>
      <c r="O92" s="45">
        <v>20</v>
      </c>
      <c r="P92" s="45">
        <v>8.24</v>
      </c>
      <c r="Q92" s="23">
        <v>5389</v>
      </c>
      <c r="R92" s="2">
        <f t="shared" si="115"/>
        <v>9</v>
      </c>
      <c r="S92" s="2">
        <f t="shared" si="116"/>
        <v>400</v>
      </c>
      <c r="T92" s="23">
        <f t="shared" si="117"/>
        <v>5.3981106612685563</v>
      </c>
      <c r="U92" s="24">
        <f t="shared" si="118"/>
        <v>72.726045883940628</v>
      </c>
      <c r="W92" s="32" t="s">
        <v>61</v>
      </c>
      <c r="X92" s="45" t="s">
        <v>69</v>
      </c>
      <c r="Y92" s="2">
        <v>70.5</v>
      </c>
      <c r="Z92" s="2">
        <v>350.21739130434787</v>
      </c>
      <c r="AA92" s="2">
        <f t="shared" si="125"/>
        <v>4.9676225716928775</v>
      </c>
      <c r="AB92" s="2">
        <v>81.945404604033513</v>
      </c>
      <c r="AC92" s="2">
        <v>88.267844687282036</v>
      </c>
      <c r="AD92" s="2">
        <v>3360.306</v>
      </c>
      <c r="AE92" s="2">
        <v>242.42411075235111</v>
      </c>
      <c r="AF92" s="45">
        <v>250</v>
      </c>
      <c r="AG92" s="45">
        <v>475</v>
      </c>
      <c r="AH92" s="45">
        <v>9</v>
      </c>
      <c r="AI92" s="45">
        <v>30</v>
      </c>
      <c r="AJ92" s="45">
        <v>187</v>
      </c>
      <c r="AK92" s="45">
        <v>18</v>
      </c>
      <c r="AL92" s="45">
        <v>8.43</v>
      </c>
      <c r="AM92" s="23">
        <v>5600.51</v>
      </c>
      <c r="AN92" s="2">
        <f t="shared" si="119"/>
        <v>9.5</v>
      </c>
      <c r="AO92" s="2">
        <f t="shared" si="120"/>
        <v>462.5</v>
      </c>
      <c r="AP92" s="23">
        <f t="shared" si="121"/>
        <v>6.5602836879432624</v>
      </c>
      <c r="AQ92" s="24">
        <f t="shared" si="122"/>
        <v>79.439858156028379</v>
      </c>
      <c r="AT92" s="22">
        <f t="shared" si="123"/>
        <v>16.150312523533444</v>
      </c>
      <c r="AU92" s="22">
        <f t="shared" si="112"/>
        <v>-37.58333333333303</v>
      </c>
      <c r="AV92" s="22">
        <f t="shared" si="113"/>
        <v>12.5</v>
      </c>
      <c r="AW92" s="22">
        <f t="shared" si="114"/>
        <v>-0.92860700443395672</v>
      </c>
    </row>
    <row r="93" spans="1:49">
      <c r="A93" s="32" t="s">
        <v>60</v>
      </c>
      <c r="B93" s="45" t="s">
        <v>68</v>
      </c>
      <c r="C93" s="2">
        <v>76.599999999999994</v>
      </c>
      <c r="D93" s="2">
        <v>326.66051660516609</v>
      </c>
      <c r="E93" s="2">
        <f t="shared" si="124"/>
        <v>4.2644976058115684</v>
      </c>
      <c r="F93" s="2">
        <v>90.545975796948468</v>
      </c>
      <c r="G93" s="2">
        <v>89.443600318356147</v>
      </c>
      <c r="H93" s="2">
        <v>3041.05</v>
      </c>
      <c r="I93" s="2">
        <v>206.22747236745064</v>
      </c>
      <c r="J93" s="45">
        <v>200</v>
      </c>
      <c r="K93" s="45">
        <v>450</v>
      </c>
      <c r="L93" s="45">
        <v>10</v>
      </c>
      <c r="M93" s="45">
        <v>30</v>
      </c>
      <c r="N93" s="45">
        <v>204</v>
      </c>
      <c r="O93" s="45">
        <v>18</v>
      </c>
      <c r="P93" s="45">
        <v>10.23</v>
      </c>
      <c r="Q93" s="23">
        <v>5068.416666666667</v>
      </c>
      <c r="R93" s="2">
        <f t="shared" si="115"/>
        <v>10.5</v>
      </c>
      <c r="S93" s="2">
        <f t="shared" si="116"/>
        <v>437.5</v>
      </c>
      <c r="T93" s="23">
        <f t="shared" si="117"/>
        <v>5.7114882506527422</v>
      </c>
      <c r="U93" s="24">
        <f t="shared" si="118"/>
        <v>66.167319408181029</v>
      </c>
      <c r="W93" s="32" t="s">
        <v>61</v>
      </c>
      <c r="X93" s="45" t="s">
        <v>70</v>
      </c>
      <c r="Y93" s="2">
        <v>61.9</v>
      </c>
      <c r="Z93" s="2">
        <v>238.95348837209303</v>
      </c>
      <c r="AA93" s="2">
        <f t="shared" si="125"/>
        <v>3.8603148363827633</v>
      </c>
      <c r="AB93" s="2">
        <v>71.760593535369537</v>
      </c>
      <c r="AC93" s="2">
        <v>88.502610346464166</v>
      </c>
      <c r="AD93" s="2">
        <v>2691.2339999999999</v>
      </c>
      <c r="AE93" s="2">
        <v>194.81191416472376</v>
      </c>
      <c r="AF93" s="45">
        <v>200</v>
      </c>
      <c r="AG93" s="45">
        <v>400</v>
      </c>
      <c r="AH93" s="45">
        <v>8</v>
      </c>
      <c r="AI93" s="45">
        <v>10</v>
      </c>
      <c r="AJ93" s="45">
        <v>196</v>
      </c>
      <c r="AK93" s="45">
        <v>20</v>
      </c>
      <c r="AL93" s="45">
        <v>13.81</v>
      </c>
      <c r="AM93" s="23">
        <v>4485.3900000000003</v>
      </c>
      <c r="AN93" s="2">
        <f t="shared" si="119"/>
        <v>8.1666666666666661</v>
      </c>
      <c r="AO93" s="2">
        <f t="shared" si="120"/>
        <v>379.16666666666669</v>
      </c>
      <c r="AP93" s="23">
        <f t="shared" si="121"/>
        <v>6.1254711900915462</v>
      </c>
      <c r="AQ93" s="24">
        <f t="shared" si="122"/>
        <v>72.461873990306955</v>
      </c>
      <c r="AT93" s="22">
        <f t="shared" si="123"/>
        <v>-8.8336943558789471</v>
      </c>
      <c r="AU93" s="22">
        <f t="shared" si="112"/>
        <v>233.3766666666661</v>
      </c>
      <c r="AV93" s="22">
        <f t="shared" si="113"/>
        <v>0</v>
      </c>
      <c r="AW93" s="22">
        <f t="shared" si="114"/>
        <v>2.1299759585514551</v>
      </c>
    </row>
    <row r="94" spans="1:49" ht="16" thickBot="1">
      <c r="A94" s="32" t="s">
        <v>60</v>
      </c>
      <c r="B94" s="45" t="s">
        <v>71</v>
      </c>
      <c r="C94" s="2">
        <v>79</v>
      </c>
      <c r="D94" s="2">
        <v>331.49779735682819</v>
      </c>
      <c r="E94" s="2">
        <f t="shared" si="124"/>
        <v>4.1961746500864328</v>
      </c>
      <c r="F94" s="2">
        <v>80.02177532158214</v>
      </c>
      <c r="G94" s="2">
        <v>88.64212184154664</v>
      </c>
      <c r="H94" s="2">
        <v>3530.0120000000002</v>
      </c>
      <c r="I94" s="2">
        <v>237.03731795012212</v>
      </c>
      <c r="J94" s="45">
        <v>200</v>
      </c>
      <c r="K94" s="45">
        <v>500</v>
      </c>
      <c r="L94" s="45">
        <v>12</v>
      </c>
      <c r="M94" s="45">
        <v>0</v>
      </c>
      <c r="N94" s="45">
        <v>193</v>
      </c>
      <c r="O94" s="45">
        <v>20</v>
      </c>
      <c r="P94" s="45">
        <v>15.18</v>
      </c>
      <c r="Q94" s="23">
        <v>5883.3533333333335</v>
      </c>
      <c r="R94" s="2">
        <f t="shared" si="115"/>
        <v>12</v>
      </c>
      <c r="S94" s="2">
        <f t="shared" si="116"/>
        <v>475</v>
      </c>
      <c r="T94" s="23">
        <f t="shared" si="117"/>
        <v>6.0126582278481013</v>
      </c>
      <c r="U94" s="24">
        <f t="shared" si="118"/>
        <v>74.472827004219411</v>
      </c>
      <c r="W94" s="53" t="s">
        <v>61</v>
      </c>
      <c r="X94" s="42" t="s">
        <v>74</v>
      </c>
      <c r="Y94" s="28">
        <v>65.5</v>
      </c>
      <c r="Z94" s="28">
        <v>258.13253012048193</v>
      </c>
      <c r="AA94" s="28">
        <f>Z94/Y94</f>
        <v>3.9409546583279682</v>
      </c>
      <c r="AB94" s="28">
        <v>79.977262650793463</v>
      </c>
      <c r="AC94" s="28">
        <v>90.949017745860289</v>
      </c>
      <c r="AD94" s="28">
        <v>2811.1729999999998</v>
      </c>
      <c r="AE94" s="28">
        <v>183.85224449884782</v>
      </c>
      <c r="AF94" s="42">
        <v>200</v>
      </c>
      <c r="AG94" s="42">
        <v>400</v>
      </c>
      <c r="AH94" s="42">
        <v>8</v>
      </c>
      <c r="AI94" s="42">
        <v>30</v>
      </c>
      <c r="AJ94" s="42">
        <v>203</v>
      </c>
      <c r="AK94" s="42">
        <v>18</v>
      </c>
      <c r="AL94" s="42">
        <v>10.45</v>
      </c>
      <c r="AM94" s="54">
        <v>4685.288333333333</v>
      </c>
      <c r="AN94" s="28">
        <f t="shared" si="119"/>
        <v>8.5</v>
      </c>
      <c r="AO94" s="28">
        <f t="shared" si="120"/>
        <v>387.5</v>
      </c>
      <c r="AP94" s="54">
        <f t="shared" si="121"/>
        <v>5.9160305343511448</v>
      </c>
      <c r="AQ94" s="55">
        <f t="shared" si="122"/>
        <v>71.531119592875314</v>
      </c>
      <c r="AT94" s="22">
        <f t="shared" si="123"/>
        <v>-4.7311649518752006</v>
      </c>
      <c r="AU94" s="22">
        <f t="shared" si="112"/>
        <v>167.74499999999989</v>
      </c>
      <c r="AV94" s="22">
        <f t="shared" si="113"/>
        <v>37.5</v>
      </c>
      <c r="AW94" s="22">
        <f t="shared" si="114"/>
        <v>1.2435571096484352</v>
      </c>
    </row>
    <row r="95" spans="1:49">
      <c r="A95" s="32" t="s">
        <v>60</v>
      </c>
      <c r="B95" s="45" t="s">
        <v>72</v>
      </c>
      <c r="C95" s="2">
        <v>72</v>
      </c>
      <c r="D95" s="2">
        <v>312.82608695652175</v>
      </c>
      <c r="E95" s="2">
        <f t="shared" si="124"/>
        <v>4.3448067632850247</v>
      </c>
      <c r="F95" s="2">
        <v>82.53688732691117</v>
      </c>
      <c r="G95" s="2">
        <v>89.063886424134893</v>
      </c>
      <c r="H95" s="2">
        <v>3125.1979999999999</v>
      </c>
      <c r="I95" s="2">
        <v>219.99659552854345</v>
      </c>
      <c r="J95" s="45">
        <v>200</v>
      </c>
      <c r="K95" s="45">
        <v>475</v>
      </c>
      <c r="L95" s="45">
        <v>11</v>
      </c>
      <c r="M95" s="45">
        <v>30</v>
      </c>
      <c r="N95" s="45">
        <v>196</v>
      </c>
      <c r="O95" s="45">
        <v>19</v>
      </c>
      <c r="P95" s="45">
        <v>14.88</v>
      </c>
      <c r="Q95" s="23">
        <v>5208.663333333333</v>
      </c>
      <c r="R95" s="2">
        <f t="shared" si="115"/>
        <v>11.5</v>
      </c>
      <c r="S95" s="2">
        <f t="shared" si="116"/>
        <v>462.5</v>
      </c>
      <c r="T95" s="23">
        <f t="shared" si="117"/>
        <v>6.4236111111111107</v>
      </c>
      <c r="U95" s="24">
        <f t="shared" si="118"/>
        <v>72.342546296296291</v>
      </c>
      <c r="W95" s="45"/>
      <c r="X95" s="45"/>
      <c r="Y95" s="45"/>
      <c r="Z95" s="45"/>
      <c r="AA95" s="109"/>
      <c r="AB95" s="45"/>
      <c r="AQ95" s="45"/>
      <c r="AT95" s="22">
        <f t="shared" si="123"/>
        <v>-40.376562689646789</v>
      </c>
      <c r="AU95" s="22">
        <f t="shared" si="112"/>
        <v>221.27500000000055</v>
      </c>
      <c r="AV95" s="22">
        <f t="shared" si="113"/>
        <v>0</v>
      </c>
      <c r="AW95" s="22">
        <f t="shared" si="114"/>
        <v>3.6367567082141505</v>
      </c>
    </row>
    <row r="96" spans="1:49" ht="16" thickBot="1">
      <c r="A96" s="53" t="s">
        <v>60</v>
      </c>
      <c r="B96" s="42" t="s">
        <v>73</v>
      </c>
      <c r="C96" s="42">
        <v>70.8</v>
      </c>
      <c r="D96" s="28">
        <v>259.74025974025972</v>
      </c>
      <c r="E96" s="28">
        <f>D96/C96</f>
        <v>3.6686477364443464</v>
      </c>
      <c r="F96" s="28">
        <v>66.862337754661709</v>
      </c>
      <c r="G96" s="28">
        <v>80.932997350907783</v>
      </c>
      <c r="H96" s="28">
        <v>3230.6680000000006</v>
      </c>
      <c r="I96" s="28">
        <v>226.99528653793013</v>
      </c>
      <c r="J96" s="42">
        <v>200</v>
      </c>
      <c r="K96" s="42">
        <v>450</v>
      </c>
      <c r="L96" s="42">
        <v>10</v>
      </c>
      <c r="M96" s="42">
        <v>45</v>
      </c>
      <c r="N96" s="42">
        <v>201</v>
      </c>
      <c r="O96" s="42">
        <v>19</v>
      </c>
      <c r="P96" s="42">
        <v>15.72</v>
      </c>
      <c r="Q96" s="54">
        <v>5384.4466666666676</v>
      </c>
      <c r="R96" s="28">
        <f t="shared" si="115"/>
        <v>10.75</v>
      </c>
      <c r="S96" s="28">
        <f t="shared" si="116"/>
        <v>443.75</v>
      </c>
      <c r="T96" s="54">
        <f t="shared" si="117"/>
        <v>6.2676553672316384</v>
      </c>
      <c r="U96" s="55">
        <f t="shared" si="118"/>
        <v>76.051506591337116</v>
      </c>
      <c r="W96" s="45"/>
      <c r="AS96" s="42"/>
      <c r="AT96" s="28">
        <f t="shared" si="123"/>
        <v>-13.054497762859285</v>
      </c>
      <c r="AU96" s="28">
        <f t="shared" si="112"/>
        <v>13.821851851850624</v>
      </c>
      <c r="AV96" s="28">
        <f t="shared" si="113"/>
        <v>-2.0370370370370097</v>
      </c>
      <c r="AW96" s="28">
        <f t="shared" si="114"/>
        <v>-0.36256348282773843</v>
      </c>
    </row>
    <row r="97" spans="1:49">
      <c r="B97" s="16" t="s">
        <v>76</v>
      </c>
      <c r="C97" s="36">
        <f>AVERAGE(C88:C96)</f>
        <v>73.677777777777763</v>
      </c>
      <c r="D97" s="36">
        <f t="shared" ref="D97:E97" si="126">AVERAGE(D88:D96)</f>
        <v>307.72913730063777</v>
      </c>
      <c r="E97" s="36">
        <f t="shared" si="126"/>
        <v>4.1627995065831218</v>
      </c>
      <c r="F97" s="36">
        <f t="shared" ref="F97" si="127">AVERAGE(F88:F96)</f>
        <v>81.655947645158136</v>
      </c>
      <c r="G97" s="36">
        <f t="shared" ref="G97" si="128">AVERAGE(G88:G96)</f>
        <v>87.894567303528149</v>
      </c>
      <c r="H97" s="36">
        <f t="shared" ref="H97" si="129">AVERAGE(H88:H96)</f>
        <v>3141.6697777777777</v>
      </c>
      <c r="I97" s="36">
        <f t="shared" ref="I97" si="130">AVERAGE(I88:I96)</f>
        <v>215.02138176753951</v>
      </c>
      <c r="J97" s="36">
        <f t="shared" ref="J97" si="131">AVERAGE(J88:J96)</f>
        <v>211.11111111111111</v>
      </c>
      <c r="K97" s="36">
        <f t="shared" ref="K97" si="132">AVERAGE(K88:K96)</f>
        <v>458.33333333333331</v>
      </c>
      <c r="L97" s="36">
        <f t="shared" ref="L97" si="133">AVERAGE(L88:L96)</f>
        <v>9.8888888888888893</v>
      </c>
      <c r="M97" s="36">
        <f t="shared" ref="M97" si="134">AVERAGE(M88:M96)</f>
        <v>15.666666666666666</v>
      </c>
      <c r="N97" s="36">
        <f t="shared" ref="N97" si="135">AVERAGE(N88:N96)</f>
        <v>197.88888888888889</v>
      </c>
      <c r="O97" s="36">
        <f t="shared" ref="O97" si="136">AVERAGE(O88:O96)</f>
        <v>19.222222222222221</v>
      </c>
      <c r="P97" s="36">
        <f t="shared" ref="P97" si="137">AVERAGE(P88:P96)</f>
        <v>12.128888888888888</v>
      </c>
      <c r="Q97" s="36">
        <f t="shared" ref="Q97" si="138">AVERAGE(Q88:Q96)</f>
        <v>5236.1162962962962</v>
      </c>
      <c r="R97" s="38">
        <f t="shared" ref="R97" si="139">AVERAGE(R88:R96)</f>
        <v>10.149999999999999</v>
      </c>
      <c r="S97" s="36">
        <f t="shared" ref="S97" si="140">AVERAGE(S88:S96)</f>
        <v>439.86111111111109</v>
      </c>
      <c r="T97" s="36">
        <f t="shared" ref="T97" si="141">AVERAGE(T88:T96)</f>
        <v>5.9705476054707232</v>
      </c>
      <c r="U97" s="36">
        <f t="shared" ref="U97" si="142">AVERAGE(U88:U96)</f>
        <v>70.972177339395046</v>
      </c>
      <c r="W97" s="45"/>
      <c r="X97" s="16" t="s">
        <v>76</v>
      </c>
      <c r="Y97" s="26">
        <f t="shared" ref="Y97:AQ97" si="143">AVERAGE(Y88:Y94)</f>
        <v>74.171428571428578</v>
      </c>
      <c r="Z97" s="26">
        <f t="shared" si="143"/>
        <v>315.48336424337049</v>
      </c>
      <c r="AA97" s="26">
        <f t="shared" ref="AA97" si="144">AVERAGE(AA88:AA94)</f>
        <v>4.2328954577794606</v>
      </c>
      <c r="AB97" s="26">
        <f t="shared" si="143"/>
        <v>81.562535784487139</v>
      </c>
      <c r="AC97" s="26">
        <f t="shared" si="143"/>
        <v>89.576033985168209</v>
      </c>
      <c r="AD97" s="26">
        <f t="shared" si="143"/>
        <v>3166.8661428571427</v>
      </c>
      <c r="AE97" s="26">
        <f t="shared" si="143"/>
        <v>217.71034782425735</v>
      </c>
      <c r="AF97" s="26">
        <f t="shared" si="143"/>
        <v>221.42857142857142</v>
      </c>
      <c r="AG97" s="26">
        <f t="shared" si="143"/>
        <v>460.71428571428572</v>
      </c>
      <c r="AH97" s="26">
        <f t="shared" si="143"/>
        <v>9.5714285714285712</v>
      </c>
      <c r="AI97" s="26">
        <f t="shared" si="143"/>
        <v>23</v>
      </c>
      <c r="AJ97" s="26">
        <f t="shared" si="143"/>
        <v>194.57142857142858</v>
      </c>
      <c r="AK97" s="26">
        <f t="shared" si="143"/>
        <v>18.714285714285715</v>
      </c>
      <c r="AL97" s="26">
        <f t="shared" si="143"/>
        <v>11.516666666666666</v>
      </c>
      <c r="AM97" s="26">
        <f t="shared" si="143"/>
        <v>5278.110238095237</v>
      </c>
      <c r="AN97" s="59">
        <f t="shared" si="143"/>
        <v>9.9547619047619058</v>
      </c>
      <c r="AO97" s="26">
        <f t="shared" si="143"/>
        <v>445.29761904761909</v>
      </c>
      <c r="AP97" s="26">
        <f t="shared" si="143"/>
        <v>6.0186088810488219</v>
      </c>
      <c r="AQ97" s="26">
        <f t="shared" si="143"/>
        <v>71.413678508219704</v>
      </c>
      <c r="AS97" s="16" t="s">
        <v>76</v>
      </c>
      <c r="AT97" s="115">
        <f>AVERAGE(AT87:AT96)</f>
        <v>-13.054497762859288</v>
      </c>
      <c r="AU97" s="115">
        <f t="shared" ref="AU97:AW97" si="145">AVERAGE(AU87:AU96)</f>
        <v>13.821851851851715</v>
      </c>
      <c r="AV97" s="115">
        <f t="shared" si="145"/>
        <v>-2.0370370370370381</v>
      </c>
      <c r="AW97" s="115">
        <f t="shared" si="145"/>
        <v>-0.36256348282772421</v>
      </c>
    </row>
    <row r="98" spans="1:49">
      <c r="B98" s="16" t="s">
        <v>13</v>
      </c>
      <c r="C98" s="36">
        <f>STDEVA(C88:C96)</f>
        <v>4.863326479318907</v>
      </c>
      <c r="D98" s="36">
        <f t="shared" ref="D98:U98" si="146">STDEVA(D88:D96)</f>
        <v>42.245727494933703</v>
      </c>
      <c r="E98" s="36">
        <f t="shared" si="146"/>
        <v>0.36070291516187825</v>
      </c>
      <c r="F98" s="36">
        <f t="shared" si="146"/>
        <v>6.4171564388266278</v>
      </c>
      <c r="G98" s="36">
        <f t="shared" si="146"/>
        <v>3.0520730970203425</v>
      </c>
      <c r="H98" s="36">
        <f t="shared" si="146"/>
        <v>342.0435507087455</v>
      </c>
      <c r="I98" s="36">
        <f t="shared" si="146"/>
        <v>23.002183133208469</v>
      </c>
      <c r="J98" s="36">
        <f t="shared" si="146"/>
        <v>22.047927592204921</v>
      </c>
      <c r="K98" s="36">
        <f t="shared" si="146"/>
        <v>39.528470752104745</v>
      </c>
      <c r="L98" s="36">
        <f t="shared" si="146"/>
        <v>1.269295517643986</v>
      </c>
      <c r="M98" s="36">
        <f t="shared" si="146"/>
        <v>17.825543469975887</v>
      </c>
      <c r="N98" s="36">
        <f t="shared" si="146"/>
        <v>5.441609239104837</v>
      </c>
      <c r="O98" s="36">
        <f t="shared" si="146"/>
        <v>0.83333333333333326</v>
      </c>
      <c r="P98" s="36">
        <f t="shared" si="146"/>
        <v>2.8971858951594949</v>
      </c>
      <c r="Q98" s="36">
        <f t="shared" si="146"/>
        <v>570.07258451457358</v>
      </c>
      <c r="R98" s="36">
        <f t="shared" si="146"/>
        <v>1.3330989377303495</v>
      </c>
      <c r="S98" s="36">
        <f t="shared" si="146"/>
        <v>39.104005726893099</v>
      </c>
      <c r="T98" s="36">
        <f t="shared" si="146"/>
        <v>0.36235579415951552</v>
      </c>
      <c r="U98" s="36">
        <f t="shared" si="146"/>
        <v>4.7984039363234752</v>
      </c>
      <c r="W98" s="45"/>
      <c r="X98" s="16" t="s">
        <v>13</v>
      </c>
      <c r="Y98" s="26">
        <f t="shared" ref="Y98:AQ98" si="147">STDEVA(Y88:Y94)</f>
        <v>9.3697588524134705</v>
      </c>
      <c r="Z98" s="26">
        <f t="shared" si="147"/>
        <v>61.00529346733704</v>
      </c>
      <c r="AA98" s="26">
        <f t="shared" ref="AA98" si="148">STDEVA(AA88:AA94)</f>
        <v>0.43933944353101223</v>
      </c>
      <c r="AB98" s="26">
        <f t="shared" si="147"/>
        <v>6.4646175898239413</v>
      </c>
      <c r="AC98" s="26">
        <f t="shared" si="147"/>
        <v>1.4057738496668855</v>
      </c>
      <c r="AD98" s="26">
        <f t="shared" si="147"/>
        <v>322.25115138063177</v>
      </c>
      <c r="AE98" s="26">
        <f t="shared" si="147"/>
        <v>25.164811485460522</v>
      </c>
      <c r="AF98" s="26">
        <f t="shared" si="147"/>
        <v>26.726124191242359</v>
      </c>
      <c r="AG98" s="26">
        <f t="shared" si="147"/>
        <v>47.559486560567095</v>
      </c>
      <c r="AH98" s="26">
        <f t="shared" si="147"/>
        <v>1.2724180205607003</v>
      </c>
      <c r="AI98" s="26">
        <f t="shared" si="147"/>
        <v>17.804493814764857</v>
      </c>
      <c r="AJ98" s="26">
        <f t="shared" si="147"/>
        <v>6.3994047342218439</v>
      </c>
      <c r="AK98" s="26">
        <f t="shared" si="147"/>
        <v>0.95118973121134176</v>
      </c>
      <c r="AL98" s="26">
        <f t="shared" si="147"/>
        <v>3.3574672994188108</v>
      </c>
      <c r="AM98" s="26">
        <f t="shared" si="147"/>
        <v>537.08525230105295</v>
      </c>
      <c r="AN98" s="26">
        <f t="shared" si="147"/>
        <v>1.2655226663507879</v>
      </c>
      <c r="AO98" s="26">
        <f t="shared" si="147"/>
        <v>48.601217814123324</v>
      </c>
      <c r="AP98" s="26">
        <f t="shared" si="147"/>
        <v>0.28218273496162372</v>
      </c>
      <c r="AQ98" s="26">
        <f t="shared" si="147"/>
        <v>4.0107350088836524</v>
      </c>
      <c r="AS98" s="16" t="s">
        <v>13</v>
      </c>
      <c r="AT98" s="115">
        <f>STDEVA(AT87:AT96)</f>
        <v>17.666837604922428</v>
      </c>
      <c r="AU98" s="115">
        <f t="shared" ref="AU98:AW98" si="149">STDEVA(AU87:AU96)</f>
        <v>221.44961057898237</v>
      </c>
      <c r="AV98" s="115">
        <f t="shared" si="149"/>
        <v>23.684073903214991</v>
      </c>
      <c r="AW98" s="115">
        <f t="shared" si="149"/>
        <v>2.8258883314600181</v>
      </c>
    </row>
    <row r="99" spans="1:49">
      <c r="B99" s="16" t="s">
        <v>14</v>
      </c>
      <c r="C99" s="36">
        <f>C98/SQRT(COUNT(C88:C96))</f>
        <v>1.6211088264396356</v>
      </c>
      <c r="D99" s="36">
        <f t="shared" ref="D99:E99" si="150">D98/SQRT(COUNT(D88:D96))</f>
        <v>14.081909164977901</v>
      </c>
      <c r="E99" s="36">
        <f t="shared" si="150"/>
        <v>0.12023430505395942</v>
      </c>
      <c r="F99" s="36">
        <f t="shared" ref="F99" si="151">F98/SQRT(COUNT(F88:F96))</f>
        <v>2.1390521462755427</v>
      </c>
      <c r="G99" s="36">
        <f t="shared" ref="G99" si="152">G98/SQRT(COUNT(G88:G96))</f>
        <v>1.0173576990067807</v>
      </c>
      <c r="H99" s="36">
        <f t="shared" ref="H99" si="153">H98/SQRT(COUNT(H88:H96))</f>
        <v>114.01451690291516</v>
      </c>
      <c r="I99" s="36">
        <f t="shared" ref="I99" si="154">I98/SQRT(COUNT(I88:I96))</f>
        <v>7.667394377736156</v>
      </c>
      <c r="J99" s="36">
        <f t="shared" ref="J99" si="155">J98/SQRT(COUNT(J88:J96))</f>
        <v>7.3493091974016407</v>
      </c>
      <c r="K99" s="36">
        <f t="shared" ref="K99" si="156">K98/SQRT(COUNT(K88:K96))</f>
        <v>13.176156917368248</v>
      </c>
      <c r="L99" s="36">
        <f t="shared" ref="L99" si="157">L98/SQRT(COUNT(L88:L96))</f>
        <v>0.42309850588132863</v>
      </c>
      <c r="M99" s="36">
        <f t="shared" ref="M99" si="158">M98/SQRT(COUNT(M88:M96))</f>
        <v>5.941847823325296</v>
      </c>
      <c r="N99" s="36">
        <f t="shared" ref="N99" si="159">N98/SQRT(COUNT(N88:N96))</f>
        <v>1.8138697463682789</v>
      </c>
      <c r="O99" s="36">
        <f t="shared" ref="O99" si="160">O98/SQRT(COUNT(O88:O96))</f>
        <v>0.27777777777777773</v>
      </c>
      <c r="P99" s="36">
        <f t="shared" ref="P99" si="161">P98/SQRT(COUNT(P88:P96))</f>
        <v>0.96572863171983159</v>
      </c>
      <c r="Q99" s="36">
        <f t="shared" ref="Q99" si="162">Q98/SQRT(COUNT(Q88:Q96))</f>
        <v>190.02419483819119</v>
      </c>
      <c r="R99" s="36">
        <f t="shared" ref="R99" si="163">R98/SQRT(COUNT(R88:R96))</f>
        <v>0.44436631257678316</v>
      </c>
      <c r="S99" s="36">
        <f t="shared" ref="S99" si="164">S98/SQRT(COUNT(S88:S96))</f>
        <v>13.034668575631033</v>
      </c>
      <c r="T99" s="36">
        <f t="shared" ref="T99" si="165">T98/SQRT(COUNT(T88:T96))</f>
        <v>0.12078526471983851</v>
      </c>
      <c r="U99" s="36">
        <f t="shared" ref="U99" si="166">U98/SQRT(COUNT(U88:U96))</f>
        <v>1.5994679787744916</v>
      </c>
      <c r="W99" s="45"/>
      <c r="X99" s="16" t="s">
        <v>14</v>
      </c>
      <c r="Y99" s="26">
        <f t="shared" ref="Y99:AQ99" si="167">Y98/SQRT(COUNT(Y88:Y94))</f>
        <v>3.5414359668759987</v>
      </c>
      <c r="Z99" s="26">
        <f t="shared" si="167"/>
        <v>23.057833596155294</v>
      </c>
      <c r="AA99" s="26">
        <f t="shared" ref="AA99" si="168">AA98/SQRT(COUNT(AA88:AA94))</f>
        <v>0.16605470124636618</v>
      </c>
      <c r="AB99" s="26">
        <f t="shared" si="167"/>
        <v>2.4433957805439865</v>
      </c>
      <c r="AC99" s="26">
        <f t="shared" si="167"/>
        <v>0.53133257225949693</v>
      </c>
      <c r="AD99" s="26">
        <f t="shared" si="167"/>
        <v>121.79948660819718</v>
      </c>
      <c r="AE99" s="26">
        <f t="shared" si="167"/>
        <v>9.5114047114786349</v>
      </c>
      <c r="AF99" s="26">
        <f t="shared" si="167"/>
        <v>10.101525445522077</v>
      </c>
      <c r="AG99" s="26">
        <f t="shared" si="167"/>
        <v>17.975796274454165</v>
      </c>
      <c r="AH99" s="26">
        <f t="shared" si="167"/>
        <v>0.4809288065886691</v>
      </c>
      <c r="AI99" s="26">
        <f t="shared" si="167"/>
        <v>6.7294661218936449</v>
      </c>
      <c r="AJ99" s="26">
        <f t="shared" si="167"/>
        <v>2.4187476379429129</v>
      </c>
      <c r="AK99" s="26">
        <f t="shared" si="167"/>
        <v>0.35951592548908329</v>
      </c>
      <c r="AL99" s="26">
        <f t="shared" si="167"/>
        <v>1.3706802852760525</v>
      </c>
      <c r="AM99" s="26">
        <f t="shared" si="167"/>
        <v>202.99914434699531</v>
      </c>
      <c r="AN99" s="26">
        <f t="shared" si="167"/>
        <v>0.47832260766850765</v>
      </c>
      <c r="AO99" s="26">
        <f t="shared" si="167"/>
        <v>18.369533678721787</v>
      </c>
      <c r="AP99" s="26">
        <f t="shared" si="167"/>
        <v>0.10665504871207254</v>
      </c>
      <c r="AQ99" s="26">
        <f t="shared" si="167"/>
        <v>1.5159153440123678</v>
      </c>
      <c r="AS99" s="16" t="s">
        <v>14</v>
      </c>
      <c r="AT99" s="115">
        <f>AT98/SQRT(COUNT(AT87:AT96))</f>
        <v>5.5867445883868827</v>
      </c>
      <c r="AU99" s="115">
        <f t="shared" ref="AU99:AW99" si="169">AU98/SQRT(COUNT(AU87:AU96))</f>
        <v>70.028515638690308</v>
      </c>
      <c r="AV99" s="115">
        <f t="shared" si="169"/>
        <v>7.4895617805913668</v>
      </c>
      <c r="AW99" s="115">
        <f t="shared" si="169"/>
        <v>0.89362435407065111</v>
      </c>
    </row>
    <row r="100" spans="1:49">
      <c r="A100" s="30"/>
      <c r="W100" s="45"/>
      <c r="X100" s="45"/>
      <c r="Y100" s="45"/>
      <c r="Z100" s="45"/>
      <c r="AA100" s="109"/>
      <c r="AB100" s="45"/>
      <c r="AQ100" s="45"/>
      <c r="AS100" s="111" t="s">
        <v>99</v>
      </c>
      <c r="AT100" s="115">
        <f>(D97-D78)/((D98+D79)/2)</f>
        <v>-0.31383776942766134</v>
      </c>
      <c r="AU100" s="115">
        <f>(Q97-Q78)/((Q98+Q79)/2)</f>
        <v>2.5090076916619557E-2</v>
      </c>
      <c r="AV100" s="115">
        <f>(S97-S78)/((S98+S79)/2)</f>
        <v>-4.6934065642008187E-2</v>
      </c>
      <c r="AW100" s="115">
        <f>(U97-U78)/((U98+U79)/2)</f>
        <v>-7.7875988014348918E-2</v>
      </c>
    </row>
    <row r="101" spans="1:49">
      <c r="A101" s="30"/>
      <c r="B101" s="17" t="s">
        <v>78</v>
      </c>
      <c r="C101" s="37">
        <f>TTEST(C69:C77,C88:C96,2,1)</f>
        <v>4.7072114546273372E-2</v>
      </c>
      <c r="D101" s="106">
        <f>TTEST(D69:D77,D88:D96,2,1)</f>
        <v>7.0018043287763038E-2</v>
      </c>
      <c r="E101" s="106"/>
      <c r="F101" s="37">
        <f t="shared" ref="F101:I101" si="170">TTEST(F69:F77,F88:F96,2,1)</f>
        <v>3.2713695149849627E-2</v>
      </c>
      <c r="G101" s="35">
        <f t="shared" si="170"/>
        <v>0.87145452726529993</v>
      </c>
      <c r="H101" s="35">
        <f t="shared" si="170"/>
        <v>0.86407830662967278</v>
      </c>
      <c r="I101" s="35">
        <f t="shared" si="170"/>
        <v>0.30282289753448655</v>
      </c>
      <c r="J101" s="35"/>
      <c r="K101" s="35">
        <f t="shared" ref="K101:U101" si="171">TTEST(K69:K77,K88:K96,2,1)</f>
        <v>0.72873398861045935</v>
      </c>
      <c r="L101" s="35">
        <f t="shared" si="171"/>
        <v>0.72873398861045935</v>
      </c>
      <c r="M101" s="35">
        <f t="shared" si="171"/>
        <v>0.83486278013906201</v>
      </c>
      <c r="N101" s="37">
        <f t="shared" si="171"/>
        <v>1.5700141250047303E-2</v>
      </c>
      <c r="O101" s="35">
        <f t="shared" si="171"/>
        <v>1</v>
      </c>
      <c r="P101" s="35">
        <f t="shared" si="171"/>
        <v>0.58631606482156851</v>
      </c>
      <c r="Q101" s="35">
        <f t="shared" si="171"/>
        <v>0.86425919018501818</v>
      </c>
      <c r="R101" s="35">
        <f t="shared" si="171"/>
        <v>0.81391841119866415</v>
      </c>
      <c r="S101" s="35">
        <f t="shared" si="171"/>
        <v>0.8139184111986697</v>
      </c>
      <c r="T101" s="35">
        <f t="shared" si="171"/>
        <v>0.53331587091579302</v>
      </c>
      <c r="U101" s="35">
        <f t="shared" si="171"/>
        <v>0.72608854816118162</v>
      </c>
      <c r="W101" s="45"/>
      <c r="X101" s="45" t="s">
        <v>78</v>
      </c>
      <c r="Y101" s="23">
        <f t="shared" ref="Y101:AQ101" si="172">TTEST(Y69:Y75,Y88:Y94,2,1)</f>
        <v>0.11866906159144665</v>
      </c>
      <c r="Z101" s="60">
        <f t="shared" si="172"/>
        <v>4.8167417263376165E-2</v>
      </c>
      <c r="AA101" s="60"/>
      <c r="AB101" s="23">
        <f t="shared" si="172"/>
        <v>0.77043856406362909</v>
      </c>
      <c r="AC101" s="23">
        <f t="shared" si="172"/>
        <v>0.97063935660757727</v>
      </c>
      <c r="AD101" s="23">
        <f t="shared" si="172"/>
        <v>0.34777267792379002</v>
      </c>
      <c r="AE101" s="23">
        <f t="shared" si="172"/>
        <v>0.27276202662641441</v>
      </c>
      <c r="AF101" s="23">
        <f t="shared" si="172"/>
        <v>0.35591768374958244</v>
      </c>
      <c r="AG101" s="23">
        <f t="shared" si="172"/>
        <v>0.73576485987981255</v>
      </c>
      <c r="AH101" s="23">
        <f t="shared" si="172"/>
        <v>0.78816672066762272</v>
      </c>
      <c r="AI101" s="23">
        <f t="shared" si="172"/>
        <v>0.62864375990961641</v>
      </c>
      <c r="AJ101" s="23">
        <f t="shared" si="172"/>
        <v>0.10304617317953919</v>
      </c>
      <c r="AK101" s="23">
        <f t="shared" si="172"/>
        <v>0.4071705077172198</v>
      </c>
      <c r="AL101" s="23">
        <f t="shared" si="172"/>
        <v>0.31025877858521772</v>
      </c>
      <c r="AM101" s="23">
        <f t="shared" si="172"/>
        <v>0.34754686262085044</v>
      </c>
      <c r="AN101" s="23">
        <f t="shared" si="172"/>
        <v>0.92276080652557879</v>
      </c>
      <c r="AO101" s="23" t="e">
        <f>TTEST(AO69:AO75,AO88:AO94:AW19AO94,2,1)</f>
        <v>#NAME?</v>
      </c>
      <c r="AP101" s="23">
        <f t="shared" si="172"/>
        <v>0.73302275873443801</v>
      </c>
      <c r="AQ101" s="23">
        <f t="shared" si="172"/>
        <v>0.26869096248294699</v>
      </c>
      <c r="AS101" s="111" t="s">
        <v>100</v>
      </c>
      <c r="AT101" s="117">
        <f>SQRT((((7-1)*(Z79^2)+((9-1)*D79^2))/(9+7-2)))</f>
        <v>53.282208193704534</v>
      </c>
      <c r="AU101" s="117">
        <f>SQRT((((7-1)*(AM79^2)+((9-1)*Q79^2))/(9+7-2)))</f>
        <v>598.99403289212205</v>
      </c>
      <c r="AV101" s="117">
        <f>SQRT((((7-1)*(AO79^2)+((9-1)*S79^2))/(9+7-2)))</f>
        <v>52.104035945926277</v>
      </c>
      <c r="AW101" s="117">
        <f>SQRT((((9-1)*(AQ79^2)+((7-1)*U79^2))/(9+7-2)))</f>
        <v>4.7561340730516166</v>
      </c>
    </row>
    <row r="102" spans="1:49">
      <c r="A102" s="30"/>
      <c r="B102" s="17" t="s">
        <v>80</v>
      </c>
      <c r="C102" s="22">
        <f>(C97-C78)/C78*100</f>
        <v>0.74445457307808194</v>
      </c>
      <c r="D102" s="22">
        <f t="shared" ref="D102:U102" si="173">(D97-D78)/D78*100</f>
        <v>-4.0695647582755363</v>
      </c>
      <c r="E102" s="22"/>
      <c r="F102" s="22">
        <f t="shared" si="173"/>
        <v>-4.5866491504723959</v>
      </c>
      <c r="G102" s="22">
        <f t="shared" si="173"/>
        <v>0.17068224918433125</v>
      </c>
      <c r="H102" s="22">
        <f t="shared" si="173"/>
        <v>0.26502564335330758</v>
      </c>
      <c r="I102" s="22">
        <f t="shared" si="173"/>
        <v>1.3650146379172248</v>
      </c>
      <c r="J102" s="22">
        <f t="shared" si="173"/>
        <v>0</v>
      </c>
      <c r="K102" s="22">
        <f t="shared" si="173"/>
        <v>-0.60240963855421548</v>
      </c>
      <c r="L102" s="22">
        <f t="shared" si="173"/>
        <v>-1.1111111111111072</v>
      </c>
      <c r="M102" s="22">
        <f t="shared" si="173"/>
        <v>12.799999999999992</v>
      </c>
      <c r="N102" s="22">
        <f t="shared" si="173"/>
        <v>1.193181818181823</v>
      </c>
      <c r="O102" s="22">
        <f t="shared" si="173"/>
        <v>0</v>
      </c>
      <c r="P102" s="22">
        <f t="shared" si="173"/>
        <v>-2.413731450026825</v>
      </c>
      <c r="Q102" s="22">
        <f t="shared" si="173"/>
        <v>0.26467009853407469</v>
      </c>
      <c r="R102" s="22">
        <f>(R97-R78)/R78*100</f>
        <v>-0.79638009049774627</v>
      </c>
      <c r="S102" s="22">
        <f t="shared" si="173"/>
        <v>-0.46097433211104677</v>
      </c>
      <c r="T102" s="22">
        <f t="shared" si="173"/>
        <v>-1.1145291079733974</v>
      </c>
      <c r="U102" s="22">
        <f t="shared" si="173"/>
        <v>-0.50825653622447831</v>
      </c>
      <c r="W102" s="45"/>
      <c r="X102" s="45" t="s">
        <v>80</v>
      </c>
      <c r="Y102" s="2">
        <f t="shared" ref="Y102:AQ102" si="174">(Y97-Y78)/Y78*100</f>
        <v>0.75684067533476584</v>
      </c>
      <c r="Z102" s="2">
        <f t="shared" si="174"/>
        <v>-3.69816313500543</v>
      </c>
      <c r="AA102" s="2"/>
      <c r="AB102" s="2">
        <f t="shared" si="174"/>
        <v>1.2156694300583253</v>
      </c>
      <c r="AC102" s="2">
        <f t="shared" si="174"/>
        <v>-3.7443058012165908E-2</v>
      </c>
      <c r="AD102" s="2">
        <f t="shared" si="174"/>
        <v>-2.1805321808719462</v>
      </c>
      <c r="AE102" s="2">
        <f t="shared" si="174"/>
        <v>-3.9819921330979753</v>
      </c>
      <c r="AF102" s="2">
        <f t="shared" si="174"/>
        <v>3.3333333333333317</v>
      </c>
      <c r="AG102" s="2">
        <f t="shared" si="174"/>
        <v>0.78124999999999645</v>
      </c>
      <c r="AH102" s="2">
        <f t="shared" si="174"/>
        <v>-1.4705882352941126</v>
      </c>
      <c r="AI102" s="2">
        <f t="shared" si="174"/>
        <v>31.967213114754113</v>
      </c>
      <c r="AJ102" s="2">
        <f t="shared" si="174"/>
        <v>1.7937219730941791</v>
      </c>
      <c r="AK102" s="2">
        <f t="shared" si="174"/>
        <v>-2.238805970149246</v>
      </c>
      <c r="AL102" s="2">
        <f t="shared" si="174"/>
        <v>5.8239257897960739</v>
      </c>
      <c r="AM102" s="2">
        <f t="shared" si="174"/>
        <v>-2.1816112718516556</v>
      </c>
      <c r="AN102" s="2">
        <f t="shared" si="174"/>
        <v>-0.4997620180866148</v>
      </c>
      <c r="AO102" s="2">
        <f>(AO97-AO78)/AO78*100</f>
        <v>1.3410999729070767</v>
      </c>
      <c r="AP102" s="2">
        <f t="shared" si="174"/>
        <v>0.86921093254481929</v>
      </c>
      <c r="AQ102" s="2">
        <f t="shared" si="174"/>
        <v>-2.6817620847148387</v>
      </c>
      <c r="AS102" s="111" t="s">
        <v>101</v>
      </c>
      <c r="AT102" s="118">
        <f>(AT97-AT76)/AT101</f>
        <v>-4.6052182399991697E-2</v>
      </c>
      <c r="AU102" s="115">
        <f t="shared" ref="AU102:AW102" si="175">(AU97-AU76)/AU101</f>
        <v>0.19503251079334977</v>
      </c>
      <c r="AV102" s="115">
        <f t="shared" si="175"/>
        <v>-0.13805623511587956</v>
      </c>
      <c r="AW102" s="115">
        <f t="shared" si="175"/>
        <v>0.28581330840350905</v>
      </c>
    </row>
    <row r="103" spans="1:49">
      <c r="A103" s="30"/>
      <c r="W103" s="45"/>
      <c r="X103" s="45"/>
      <c r="Y103" s="45"/>
      <c r="Z103" s="45"/>
      <c r="AA103" s="109"/>
      <c r="AB103" s="45"/>
      <c r="AQ103" s="45"/>
    </row>
    <row r="104" spans="1:49">
      <c r="A104" s="30"/>
      <c r="AB104" s="17"/>
    </row>
    <row r="109" spans="1:49">
      <c r="D109" s="1"/>
      <c r="E109" s="109"/>
      <c r="AB109" s="17"/>
    </row>
    <row r="110" spans="1:49">
      <c r="D110" s="1"/>
      <c r="E110" s="109"/>
      <c r="AB110" s="17"/>
    </row>
    <row r="111" spans="1:49">
      <c r="D111" s="1"/>
      <c r="E111" s="109"/>
      <c r="AB111" s="17"/>
    </row>
    <row r="112" spans="1:49">
      <c r="D112" s="1"/>
      <c r="E112" s="10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AB112" s="17"/>
    </row>
    <row r="113" spans="4:28">
      <c r="D113" s="1"/>
      <c r="E113" s="10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AB113" s="17"/>
    </row>
    <row r="114" spans="4:28">
      <c r="D114" s="15"/>
      <c r="E114" s="1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AB114" s="17"/>
    </row>
  </sheetData>
  <mergeCells count="27">
    <mergeCell ref="AT84:AW85"/>
    <mergeCell ref="B3:Z4"/>
    <mergeCell ref="H33:N33"/>
    <mergeCell ref="O33:Z33"/>
    <mergeCell ref="Q6:R6"/>
    <mergeCell ref="D31:Z32"/>
    <mergeCell ref="O5:Z5"/>
    <mergeCell ref="A84:U85"/>
    <mergeCell ref="W84:AQ85"/>
    <mergeCell ref="AT5:AX5"/>
    <mergeCell ref="AT4:AX4"/>
    <mergeCell ref="A86:A87"/>
    <mergeCell ref="L86:M86"/>
    <mergeCell ref="W86:W87"/>
    <mergeCell ref="AH86:AI86"/>
    <mergeCell ref="AD5:AQ5"/>
    <mergeCell ref="I5:N5"/>
    <mergeCell ref="A67:A68"/>
    <mergeCell ref="L67:M67"/>
    <mergeCell ref="W67:W68"/>
    <mergeCell ref="AH67:AI67"/>
    <mergeCell ref="Q34:R34"/>
    <mergeCell ref="BA4:BE4"/>
    <mergeCell ref="BA5:BE5"/>
    <mergeCell ref="A65:U66"/>
    <mergeCell ref="W65:AQ66"/>
    <mergeCell ref="AT65:AW66"/>
  </mergeCells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2"/>
  <sheetViews>
    <sheetView zoomScale="69" zoomScaleNormal="80" workbookViewId="0">
      <selection activeCell="Z42" sqref="Z42"/>
    </sheetView>
  </sheetViews>
  <sheetFormatPr baseColWidth="10" defaultRowHeight="15.5"/>
  <sheetData>
    <row r="1" spans="2:29" ht="16" thickBot="1"/>
    <row r="2" spans="2:29">
      <c r="B2" s="1344" t="s">
        <v>156</v>
      </c>
      <c r="C2" s="1389"/>
      <c r="D2" s="6" t="s">
        <v>31</v>
      </c>
      <c r="E2" s="768" t="s">
        <v>138</v>
      </c>
      <c r="F2" s="769" t="s">
        <v>138</v>
      </c>
      <c r="H2" s="1344" t="s">
        <v>156</v>
      </c>
      <c r="I2" s="1389"/>
      <c r="J2" s="6" t="s">
        <v>31</v>
      </c>
      <c r="K2" s="768" t="s">
        <v>138</v>
      </c>
      <c r="L2" s="769" t="s">
        <v>138</v>
      </c>
      <c r="N2" s="1381" t="s">
        <v>170</v>
      </c>
      <c r="O2" s="1382"/>
      <c r="P2" s="847" t="s">
        <v>31</v>
      </c>
      <c r="Q2" s="830" t="s">
        <v>138</v>
      </c>
      <c r="R2" s="831" t="s">
        <v>138</v>
      </c>
      <c r="S2" s="313"/>
      <c r="T2" s="1381" t="s">
        <v>170</v>
      </c>
      <c r="U2" s="1382"/>
      <c r="V2" s="847" t="s">
        <v>31</v>
      </c>
      <c r="W2" s="830" t="s">
        <v>138</v>
      </c>
      <c r="X2" s="831" t="s">
        <v>138</v>
      </c>
      <c r="Z2" s="769" t="s">
        <v>138</v>
      </c>
      <c r="AA2" t="s">
        <v>261</v>
      </c>
    </row>
    <row r="3" spans="2:29" ht="16" thickBot="1">
      <c r="B3" s="1336"/>
      <c r="C3" s="1390"/>
      <c r="D3" s="747" t="s">
        <v>2</v>
      </c>
      <c r="E3" s="770" t="s">
        <v>139</v>
      </c>
      <c r="F3" s="771" t="s">
        <v>212</v>
      </c>
      <c r="H3" s="1336"/>
      <c r="I3" s="1390"/>
      <c r="J3" s="747" t="s">
        <v>2</v>
      </c>
      <c r="K3" s="770" t="s">
        <v>139</v>
      </c>
      <c r="L3" s="771" t="s">
        <v>212</v>
      </c>
      <c r="N3" s="1383"/>
      <c r="O3" s="1384"/>
      <c r="P3" s="848" t="s">
        <v>2</v>
      </c>
      <c r="Q3" s="839" t="s">
        <v>139</v>
      </c>
      <c r="R3" s="419" t="s">
        <v>212</v>
      </c>
      <c r="S3" s="313"/>
      <c r="T3" s="1383"/>
      <c r="U3" s="1384"/>
      <c r="V3" s="848" t="s">
        <v>2</v>
      </c>
      <c r="W3" s="839" t="s">
        <v>139</v>
      </c>
      <c r="X3" s="419" t="s">
        <v>212</v>
      </c>
      <c r="Z3" s="771" t="s">
        <v>212</v>
      </c>
      <c r="AA3" t="s">
        <v>21</v>
      </c>
      <c r="AB3" t="s">
        <v>295</v>
      </c>
      <c r="AC3" t="s">
        <v>261</v>
      </c>
    </row>
    <row r="4" spans="2:29">
      <c r="B4" s="541" t="s">
        <v>60</v>
      </c>
      <c r="C4" s="518" t="s">
        <v>57</v>
      </c>
      <c r="D4" s="548">
        <v>79.8</v>
      </c>
      <c r="E4" s="772">
        <f>'[1]Laktatprofil+VO2max'!$I$24</f>
        <v>5905.5</v>
      </c>
      <c r="F4" s="773">
        <f>E4/D4</f>
        <v>74.003759398496243</v>
      </c>
      <c r="H4" s="544" t="s">
        <v>61</v>
      </c>
      <c r="I4" s="516" t="s">
        <v>58</v>
      </c>
      <c r="J4" s="548">
        <v>74</v>
      </c>
      <c r="K4" s="772">
        <f>'[2]Laktatprofil+VO2max'!$I$24</f>
        <v>5439.083333333333</v>
      </c>
      <c r="L4" s="779">
        <f>K4/J4</f>
        <v>73.501126126126124</v>
      </c>
      <c r="N4" s="322" t="s">
        <v>60</v>
      </c>
      <c r="O4" s="527" t="s">
        <v>57</v>
      </c>
      <c r="P4" s="759">
        <f>D24-D4</f>
        <v>0.70000000000000284</v>
      </c>
      <c r="Q4" s="760">
        <f t="shared" ref="Q4:R12" si="0">E24-E4</f>
        <v>201.41666666666697</v>
      </c>
      <c r="R4" s="798">
        <f t="shared" si="0"/>
        <v>1.8585594420834752</v>
      </c>
      <c r="S4" s="313"/>
      <c r="T4" s="343" t="s">
        <v>61</v>
      </c>
      <c r="U4" s="836" t="s">
        <v>58</v>
      </c>
      <c r="V4" s="759">
        <f>J24-J4</f>
        <v>0.79999999999999716</v>
      </c>
      <c r="W4" s="760">
        <f t="shared" ref="W4:X4" si="1">K24-K4</f>
        <v>-101.83333333333303</v>
      </c>
      <c r="X4" s="798">
        <f t="shared" si="1"/>
        <v>-2.1475165004576695</v>
      </c>
      <c r="Z4" s="1166">
        <v>74</v>
      </c>
      <c r="AA4" s="1169">
        <v>6.46</v>
      </c>
      <c r="AB4" t="s">
        <v>291</v>
      </c>
      <c r="AC4" t="s">
        <v>293</v>
      </c>
    </row>
    <row r="5" spans="2:29">
      <c r="B5" s="541" t="s">
        <v>60</v>
      </c>
      <c r="C5" s="518" t="s">
        <v>59</v>
      </c>
      <c r="D5" s="50">
        <v>72.099999999999994</v>
      </c>
      <c r="E5" s="774">
        <f>'[3]Laktatprofil+VO2max'!$I$24</f>
        <v>5689.583333333333</v>
      </c>
      <c r="F5" s="775">
        <f>E5/D5</f>
        <v>78.912390198797965</v>
      </c>
      <c r="H5" s="545" t="s">
        <v>61</v>
      </c>
      <c r="I5" s="518" t="s">
        <v>63</v>
      </c>
      <c r="J5" s="50">
        <v>74</v>
      </c>
      <c r="K5" s="774">
        <f>'[4]Laktatprofil+VO2max'!$I$24</f>
        <v>4992.583333333333</v>
      </c>
      <c r="L5" s="780">
        <f t="shared" ref="L5:L10" si="2">K5/J5</f>
        <v>67.467342342342334</v>
      </c>
      <c r="N5" s="322" t="s">
        <v>60</v>
      </c>
      <c r="O5" s="527" t="s">
        <v>59</v>
      </c>
      <c r="P5" s="761">
        <f>D25-D5</f>
        <v>-0.5</v>
      </c>
      <c r="Q5" s="762">
        <f t="shared" si="0"/>
        <v>-501.66666666666606</v>
      </c>
      <c r="R5" s="799">
        <f t="shared" si="0"/>
        <v>-6.4554535135093118</v>
      </c>
      <c r="S5" s="313"/>
      <c r="T5" s="322" t="s">
        <v>61</v>
      </c>
      <c r="U5" s="527" t="s">
        <v>63</v>
      </c>
      <c r="V5" s="761">
        <f t="shared" ref="V5:V10" si="3">J25-J5</f>
        <v>0.20000000000000284</v>
      </c>
      <c r="W5" s="762">
        <f t="shared" ref="W5:W10" si="4">K25-K5</f>
        <v>170.25</v>
      </c>
      <c r="X5" s="799">
        <f t="shared" ref="X5:X10" si="5">L25-L5</f>
        <v>2.1126217187538003</v>
      </c>
      <c r="Z5" s="1167">
        <v>78.900000000000006</v>
      </c>
      <c r="AA5" s="1170">
        <v>6.93</v>
      </c>
      <c r="AB5" t="s">
        <v>293</v>
      </c>
      <c r="AC5" t="s">
        <v>293</v>
      </c>
    </row>
    <row r="6" spans="2:29">
      <c r="B6" s="541" t="s">
        <v>60</v>
      </c>
      <c r="C6" s="518" t="s">
        <v>62</v>
      </c>
      <c r="D6" s="747">
        <v>72.8</v>
      </c>
      <c r="E6" s="776">
        <f>'[5]Laktatprofil+VO2max 28.09'!$I$24</f>
        <v>4685.166666666667</v>
      </c>
      <c r="F6" s="775">
        <f t="shared" ref="F6:F12" si="6">E6/D6</f>
        <v>64.356684981684992</v>
      </c>
      <c r="H6" s="545" t="s">
        <v>61</v>
      </c>
      <c r="I6" s="518" t="s">
        <v>65</v>
      </c>
      <c r="J6" s="50">
        <v>83.9</v>
      </c>
      <c r="K6" s="776">
        <f>'[6]Laktatprofil+VO2max'!$I$24</f>
        <v>5998.75</v>
      </c>
      <c r="L6" s="780">
        <f t="shared" si="2"/>
        <v>71.498808104886763</v>
      </c>
      <c r="N6" s="322" t="s">
        <v>60</v>
      </c>
      <c r="O6" s="527" t="s">
        <v>62</v>
      </c>
      <c r="P6" s="761">
        <f t="shared" ref="P6:P12" si="7">D26-D6</f>
        <v>1.5</v>
      </c>
      <c r="Q6" s="762">
        <f t="shared" si="0"/>
        <v>-8.5833333333339397</v>
      </c>
      <c r="R6" s="799">
        <f t="shared" si="0"/>
        <v>-1.4147827833897964</v>
      </c>
      <c r="S6" s="313"/>
      <c r="T6" s="322" t="s">
        <v>61</v>
      </c>
      <c r="U6" s="527" t="s">
        <v>65</v>
      </c>
      <c r="V6" s="761">
        <f t="shared" si="3"/>
        <v>2</v>
      </c>
      <c r="W6" s="762">
        <f t="shared" si="4"/>
        <v>-117.41666666666697</v>
      </c>
      <c r="X6" s="799">
        <f t="shared" si="5"/>
        <v>-3.0315981708549486</v>
      </c>
      <c r="Z6" s="1167">
        <v>64.400000000000006</v>
      </c>
      <c r="AA6" s="1170">
        <v>5.52</v>
      </c>
      <c r="AB6" t="s">
        <v>292</v>
      </c>
      <c r="AC6" t="s">
        <v>294</v>
      </c>
    </row>
    <row r="7" spans="2:29">
      <c r="B7" s="541" t="s">
        <v>60</v>
      </c>
      <c r="C7" s="518" t="s">
        <v>64</v>
      </c>
      <c r="D7" s="50">
        <v>63.2</v>
      </c>
      <c r="E7" s="776">
        <f>'[7]Laktatprofil+VO2max'!$I$24</f>
        <v>4239.416666666667</v>
      </c>
      <c r="F7" s="775">
        <f t="shared" si="6"/>
        <v>67.079377637130804</v>
      </c>
      <c r="H7" s="546" t="s">
        <v>61</v>
      </c>
      <c r="I7" s="518" t="s">
        <v>66</v>
      </c>
      <c r="J7" s="50">
        <v>85.8</v>
      </c>
      <c r="K7" s="776">
        <f>'[8]Laktatprofil+VO2max'!$I$24</f>
        <v>6231.833333333333</v>
      </c>
      <c r="L7" s="780">
        <f t="shared" si="2"/>
        <v>72.632090132090127</v>
      </c>
      <c r="N7" s="322" t="s">
        <v>60</v>
      </c>
      <c r="O7" s="527" t="s">
        <v>64</v>
      </c>
      <c r="P7" s="761">
        <f t="shared" si="7"/>
        <v>1</v>
      </c>
      <c r="Q7" s="762">
        <f t="shared" si="0"/>
        <v>-19.66666666666697</v>
      </c>
      <c r="R7" s="799">
        <f t="shared" si="0"/>
        <v>-1.351184490713365</v>
      </c>
      <c r="S7" s="313"/>
      <c r="T7" s="332" t="s">
        <v>61</v>
      </c>
      <c r="U7" s="527" t="s">
        <v>66</v>
      </c>
      <c r="V7" s="761">
        <f t="shared" si="3"/>
        <v>0.60000000000000853</v>
      </c>
      <c r="W7" s="762">
        <f t="shared" si="4"/>
        <v>-437.66666666666606</v>
      </c>
      <c r="X7" s="799">
        <f t="shared" si="5"/>
        <v>-5.5699759345592668</v>
      </c>
      <c r="Z7" s="1167">
        <v>67.099999999999994</v>
      </c>
      <c r="AA7" s="1170">
        <v>5.79</v>
      </c>
      <c r="AB7" t="s">
        <v>292</v>
      </c>
      <c r="AC7" t="s">
        <v>294</v>
      </c>
    </row>
    <row r="8" spans="2:29">
      <c r="B8" s="542" t="s">
        <v>60</v>
      </c>
      <c r="C8" s="518" t="s">
        <v>67</v>
      </c>
      <c r="D8" s="50">
        <v>73.900000000000006</v>
      </c>
      <c r="E8" s="776">
        <f>'[9]Laktatprofil+VO2max'!$I$24</f>
        <v>5520.916666666667</v>
      </c>
      <c r="F8" s="775">
        <f t="shared" si="6"/>
        <v>74.707938655841218</v>
      </c>
      <c r="H8" s="545" t="s">
        <v>61</v>
      </c>
      <c r="I8" s="518" t="s">
        <v>69</v>
      </c>
      <c r="J8" s="50">
        <v>71</v>
      </c>
      <c r="K8" s="776">
        <f>'[10]CORRECTED Laktatprofil+VO2max'!$I$24</f>
        <v>5659.958333333333</v>
      </c>
      <c r="L8" s="780">
        <f t="shared" si="2"/>
        <v>79.717723004694832</v>
      </c>
      <c r="N8" s="332" t="s">
        <v>60</v>
      </c>
      <c r="O8" s="527" t="s">
        <v>67</v>
      </c>
      <c r="P8" s="761">
        <f>D28-D8</f>
        <v>0.19999999999998863</v>
      </c>
      <c r="Q8" s="762">
        <f t="shared" si="0"/>
        <v>-131.91666666666697</v>
      </c>
      <c r="R8" s="799">
        <f t="shared" si="0"/>
        <v>-1.9818927719005899</v>
      </c>
      <c r="S8" s="313"/>
      <c r="T8" s="322" t="s">
        <v>61</v>
      </c>
      <c r="U8" s="527" t="s">
        <v>69</v>
      </c>
      <c r="V8" s="761">
        <f t="shared" si="3"/>
        <v>-0.5</v>
      </c>
      <c r="W8" s="762">
        <f t="shared" si="4"/>
        <v>-59.448333333332812</v>
      </c>
      <c r="X8" s="799">
        <f t="shared" si="5"/>
        <v>-0.27786484866645367</v>
      </c>
      <c r="Z8" s="1167">
        <v>74.7</v>
      </c>
      <c r="AA8" s="1170">
        <v>5.75</v>
      </c>
      <c r="AB8" t="s">
        <v>291</v>
      </c>
      <c r="AC8" t="s">
        <v>294</v>
      </c>
    </row>
    <row r="9" spans="2:29">
      <c r="B9" s="541" t="s">
        <v>60</v>
      </c>
      <c r="C9" s="518" t="s">
        <v>68</v>
      </c>
      <c r="D9" s="50">
        <v>76.099999999999994</v>
      </c>
      <c r="E9" s="776">
        <f>'[11]Laktatprofil+VO2max'!$I$24</f>
        <v>5106</v>
      </c>
      <c r="F9" s="775">
        <f t="shared" si="6"/>
        <v>67.095926412614986</v>
      </c>
      <c r="H9" s="545" t="s">
        <v>61</v>
      </c>
      <c r="I9" s="518" t="s">
        <v>70</v>
      </c>
      <c r="J9" s="50">
        <v>61</v>
      </c>
      <c r="K9" s="776">
        <f>'[13]Laktatprofil+VO2max'!$I$24</f>
        <v>4193.8016666666663</v>
      </c>
      <c r="L9" s="780">
        <f t="shared" si="2"/>
        <v>68.750846994535507</v>
      </c>
      <c r="N9" s="322" t="s">
        <v>60</v>
      </c>
      <c r="O9" s="527" t="s">
        <v>68</v>
      </c>
      <c r="P9" s="761">
        <f t="shared" si="7"/>
        <v>0.5</v>
      </c>
      <c r="Q9" s="762">
        <f t="shared" si="0"/>
        <v>-37.58333333333303</v>
      </c>
      <c r="R9" s="799">
        <f t="shared" si="0"/>
        <v>-0.92860700443395672</v>
      </c>
      <c r="S9" s="313"/>
      <c r="T9" s="322" t="s">
        <v>61</v>
      </c>
      <c r="U9" s="527" t="s">
        <v>70</v>
      </c>
      <c r="V9" s="761">
        <f t="shared" si="3"/>
        <v>0.89999999999999858</v>
      </c>
      <c r="W9" s="762">
        <f t="shared" si="4"/>
        <v>291.58833333333405</v>
      </c>
      <c r="X9" s="799">
        <f t="shared" si="5"/>
        <v>3.7110269957714479</v>
      </c>
      <c r="Z9" s="1167">
        <v>67.099999999999994</v>
      </c>
      <c r="AA9" s="1170">
        <v>5.58</v>
      </c>
      <c r="AB9" t="s">
        <v>292</v>
      </c>
      <c r="AC9" t="s">
        <v>294</v>
      </c>
    </row>
    <row r="10" spans="2:29" ht="16" thickBot="1">
      <c r="B10" s="541" t="s">
        <v>60</v>
      </c>
      <c r="C10" s="518" t="s">
        <v>71</v>
      </c>
      <c r="D10" s="50">
        <v>78.099999999999994</v>
      </c>
      <c r="E10" s="776">
        <f>'[14]CORRECTED Laktatprofil+VO2max'!$I$24</f>
        <v>5649.9766666666674</v>
      </c>
      <c r="F10" s="775">
        <f t="shared" si="6"/>
        <v>72.342851045667956</v>
      </c>
      <c r="H10" s="547" t="s">
        <v>61</v>
      </c>
      <c r="I10" s="517" t="s">
        <v>74</v>
      </c>
      <c r="J10" s="58">
        <v>65.599999999999994</v>
      </c>
      <c r="K10" s="777">
        <f>'[15]CORRECTED Laktatprofil+VO2max'!$I$24</f>
        <v>5254.7733333333335</v>
      </c>
      <c r="L10" s="781">
        <f t="shared" si="2"/>
        <v>80.103252032520331</v>
      </c>
      <c r="N10" s="322" t="s">
        <v>60</v>
      </c>
      <c r="O10" s="527" t="s">
        <v>71</v>
      </c>
      <c r="P10" s="761">
        <f t="shared" si="7"/>
        <v>0.90000000000000568</v>
      </c>
      <c r="Q10" s="762">
        <f t="shared" si="0"/>
        <v>233.3766666666661</v>
      </c>
      <c r="R10" s="799">
        <f t="shared" si="0"/>
        <v>2.1299759585514551</v>
      </c>
      <c r="S10" s="313"/>
      <c r="T10" s="333" t="s">
        <v>61</v>
      </c>
      <c r="U10" s="837" t="s">
        <v>74</v>
      </c>
      <c r="V10" s="763">
        <f t="shared" si="3"/>
        <v>-9.9999999999994316E-2</v>
      </c>
      <c r="W10" s="764">
        <f t="shared" si="4"/>
        <v>-569.48500000000058</v>
      </c>
      <c r="X10" s="800">
        <f t="shared" si="5"/>
        <v>-8.5721324396450171</v>
      </c>
      <c r="Z10" s="1167">
        <v>72.3</v>
      </c>
      <c r="AA10" s="1170">
        <v>6.08</v>
      </c>
      <c r="AB10" t="s">
        <v>291</v>
      </c>
      <c r="AC10" t="s">
        <v>291</v>
      </c>
    </row>
    <row r="11" spans="2:29">
      <c r="B11" s="541" t="s">
        <v>60</v>
      </c>
      <c r="C11" s="518" t="s">
        <v>72</v>
      </c>
      <c r="D11" s="50">
        <v>70.900000000000006</v>
      </c>
      <c r="E11" s="776">
        <f>'[16]CORRECTED Laktatprofil+VO2max'!$I$24</f>
        <v>5040.9183333333331</v>
      </c>
      <c r="F11" s="775">
        <f t="shared" si="6"/>
        <v>71.098989186647856</v>
      </c>
      <c r="H11" s="26"/>
      <c r="I11" s="518"/>
      <c r="J11" s="518"/>
      <c r="K11" s="746"/>
      <c r="N11" s="322" t="s">
        <v>60</v>
      </c>
      <c r="O11" s="527" t="s">
        <v>72</v>
      </c>
      <c r="P11" s="761">
        <f t="shared" si="7"/>
        <v>1.0999999999999943</v>
      </c>
      <c r="Q11" s="762">
        <f t="shared" si="0"/>
        <v>167.74499999999989</v>
      </c>
      <c r="R11" s="799">
        <f t="shared" si="0"/>
        <v>1.2435571096484352</v>
      </c>
      <c r="S11" s="313"/>
      <c r="T11" s="802"/>
      <c r="U11" s="527"/>
      <c r="V11" s="527"/>
      <c r="W11" s="313"/>
      <c r="X11" s="313"/>
      <c r="Z11" s="1167">
        <v>71.099999999999994</v>
      </c>
      <c r="AA11" s="1170">
        <v>5.99</v>
      </c>
      <c r="AB11" t="s">
        <v>291</v>
      </c>
      <c r="AC11" t="s">
        <v>291</v>
      </c>
    </row>
    <row r="12" spans="2:29" ht="16" thickBot="1">
      <c r="B12" s="543" t="s">
        <v>60</v>
      </c>
      <c r="C12" s="517" t="s">
        <v>73</v>
      </c>
      <c r="D12" s="58">
        <v>71.3</v>
      </c>
      <c r="E12" s="777">
        <f>'[17]Laktatprofil+VO2max'!$I$24</f>
        <v>5163.1716666666671</v>
      </c>
      <c r="F12" s="778">
        <f t="shared" si="6"/>
        <v>72.414749883122965</v>
      </c>
      <c r="H12" s="26"/>
      <c r="I12" s="17"/>
      <c r="J12" s="17"/>
      <c r="K12" s="17"/>
      <c r="N12" s="333" t="s">
        <v>60</v>
      </c>
      <c r="O12" s="837" t="s">
        <v>73</v>
      </c>
      <c r="P12" s="763">
        <f t="shared" si="7"/>
        <v>-0.5</v>
      </c>
      <c r="Q12" s="764">
        <f t="shared" si="0"/>
        <v>221.27500000000055</v>
      </c>
      <c r="R12" s="800">
        <f t="shared" si="0"/>
        <v>3.6367567082141505</v>
      </c>
      <c r="S12" s="313"/>
      <c r="T12" s="802"/>
      <c r="U12" s="849"/>
      <c r="V12" s="849"/>
      <c r="W12" s="313"/>
      <c r="X12" s="313"/>
      <c r="Z12" s="1168">
        <v>72.400000000000006</v>
      </c>
      <c r="AA12" s="1171">
        <v>6.22</v>
      </c>
      <c r="AB12" t="s">
        <v>291</v>
      </c>
      <c r="AC12" t="s">
        <v>291</v>
      </c>
    </row>
    <row r="13" spans="2:29" ht="16" thickBot="1">
      <c r="B13" s="518"/>
      <c r="C13" s="16" t="s">
        <v>76</v>
      </c>
      <c r="D13" s="36">
        <f>AVERAGE(D4:D12)</f>
        <v>73.133333333333326</v>
      </c>
      <c r="E13" s="36">
        <f t="shared" ref="E13" si="8">AVERAGE(E4:E12)</f>
        <v>5222.2944444444456</v>
      </c>
      <c r="F13" s="36">
        <f>AVERAGE(F4:F12)</f>
        <v>71.334740822222784</v>
      </c>
      <c r="H13" s="26"/>
      <c r="I13" s="16" t="s">
        <v>76</v>
      </c>
      <c r="J13" s="26">
        <f>AVERAGE(J4:J10)</f>
        <v>73.614285714285714</v>
      </c>
      <c r="K13" s="26">
        <f t="shared" ref="K13:L13" si="9">AVERAGE(K4:K10)</f>
        <v>5395.8261904761894</v>
      </c>
      <c r="L13" s="26">
        <f t="shared" si="9"/>
        <v>73.381598391028007</v>
      </c>
      <c r="N13" s="527"/>
      <c r="O13" s="334" t="s">
        <v>76</v>
      </c>
      <c r="P13" s="801">
        <f>AVERAGE(P4:P12)</f>
        <v>0.54444444444444351</v>
      </c>
      <c r="Q13" s="801">
        <f t="shared" ref="Q13:R13" si="10">AVERAGE(Q4:Q12)</f>
        <v>13.821851851851838</v>
      </c>
      <c r="R13" s="801">
        <f t="shared" si="10"/>
        <v>-0.36256348282772266</v>
      </c>
      <c r="S13" s="313"/>
      <c r="T13" s="802"/>
      <c r="U13" s="334" t="s">
        <v>76</v>
      </c>
      <c r="V13" s="802">
        <f>AVERAGE(V4:V10)</f>
        <v>0.55714285714285894</v>
      </c>
      <c r="W13" s="802">
        <f t="shared" ref="W13:X13" si="11">AVERAGE(W4:W10)</f>
        <v>-117.7159523809522</v>
      </c>
      <c r="X13" s="802">
        <f t="shared" si="11"/>
        <v>-1.9679198828083011</v>
      </c>
      <c r="AA13" s="124"/>
    </row>
    <row r="14" spans="2:29">
      <c r="B14" s="518"/>
      <c r="C14" s="16" t="s">
        <v>13</v>
      </c>
      <c r="D14" s="36">
        <f>STDEVA(D4:D12)</f>
        <v>4.8308901871187233</v>
      </c>
      <c r="E14" s="36">
        <f t="shared" ref="E14:F14" si="12">STDEVA(E4:E12)</f>
        <v>531.7057717482636</v>
      </c>
      <c r="F14" s="36">
        <f t="shared" si="12"/>
        <v>4.5128996393290066</v>
      </c>
      <c r="H14" s="518"/>
      <c r="I14" s="16" t="s">
        <v>13</v>
      </c>
      <c r="J14" s="26">
        <f>STDEVA(J4:J10)</f>
        <v>8.9885906517519594</v>
      </c>
      <c r="K14" s="26">
        <f t="shared" ref="K14:L14" si="13">STDEVA(K4:K10)</f>
        <v>678.40814884082727</v>
      </c>
      <c r="L14" s="26">
        <f t="shared" si="13"/>
        <v>4.9306918830406126</v>
      </c>
      <c r="N14" s="527"/>
      <c r="O14" s="334" t="s">
        <v>13</v>
      </c>
      <c r="P14" s="801">
        <f>STDEVA(P4:P12)</f>
        <v>0.69661881813354609</v>
      </c>
      <c r="Q14" s="801">
        <f t="shared" ref="Q14:R14" si="14">STDEVA(Q4:Q12)</f>
        <v>234.88278199727799</v>
      </c>
      <c r="R14" s="801">
        <f t="shared" si="14"/>
        <v>2.9973072030769754</v>
      </c>
      <c r="S14" s="313"/>
      <c r="T14" s="527"/>
      <c r="U14" s="334" t="s">
        <v>13</v>
      </c>
      <c r="V14" s="802">
        <f t="shared" ref="V14:X14" si="15">STDEVA(V4:V10)</f>
        <v>0.81005584757501392</v>
      </c>
      <c r="W14" s="802">
        <f t="shared" si="15"/>
        <v>305.65928269413001</v>
      </c>
      <c r="X14" s="802">
        <f t="shared" si="15"/>
        <v>4.2722289493035968</v>
      </c>
      <c r="Z14" s="1161" t="s">
        <v>138</v>
      </c>
      <c r="AA14" s="124"/>
    </row>
    <row r="15" spans="2:29" ht="16" thickBot="1">
      <c r="B15" s="518"/>
      <c r="C15" s="16" t="s">
        <v>14</v>
      </c>
      <c r="D15" s="36">
        <f>D14/SQRT(COUNT(D4:D12))</f>
        <v>1.6102967290395744</v>
      </c>
      <c r="E15" s="36">
        <f t="shared" ref="E15:F15" si="16">E14/SQRT(COUNT(E4:E12))</f>
        <v>177.23525724942121</v>
      </c>
      <c r="F15" s="36">
        <f t="shared" si="16"/>
        <v>1.5042998797763356</v>
      </c>
      <c r="H15" s="518"/>
      <c r="I15" s="16" t="s">
        <v>14</v>
      </c>
      <c r="J15" s="26">
        <f t="shared" ref="J15:L15" si="17">J14/SQRT(COUNT(J4:J10))</f>
        <v>3.3973679287850955</v>
      </c>
      <c r="K15" s="26">
        <f t="shared" si="17"/>
        <v>256.41417846178865</v>
      </c>
      <c r="L15" s="26">
        <f t="shared" si="17"/>
        <v>1.8636263591443194</v>
      </c>
      <c r="N15" s="527"/>
      <c r="O15" s="334" t="s">
        <v>14</v>
      </c>
      <c r="P15" s="801">
        <f>P14/SQRT(COUNT(P4:P12))</f>
        <v>0.23220627271118202</v>
      </c>
      <c r="Q15" s="801">
        <f t="shared" ref="Q15:R15" si="18">Q14/SQRT(COUNT(Q4:Q12))</f>
        <v>78.294260665759325</v>
      </c>
      <c r="R15" s="801">
        <f t="shared" si="18"/>
        <v>0.9991024010256585</v>
      </c>
      <c r="S15" s="313"/>
      <c r="T15" s="527"/>
      <c r="U15" s="334" t="s">
        <v>14</v>
      </c>
      <c r="V15" s="802">
        <f t="shared" ref="V15:X15" si="19">V14/SQRT(COUNT(V4:V10))</f>
        <v>0.30617233153673301</v>
      </c>
      <c r="W15" s="802">
        <f t="shared" si="19"/>
        <v>115.52834970386526</v>
      </c>
      <c r="X15" s="802">
        <f t="shared" si="19"/>
        <v>1.6147507633982985</v>
      </c>
      <c r="Z15" s="1162" t="s">
        <v>212</v>
      </c>
      <c r="AA15" s="124"/>
    </row>
    <row r="16" spans="2:29">
      <c r="B16" s="518"/>
      <c r="C16" s="17"/>
      <c r="D16" s="17"/>
      <c r="E16" s="17"/>
      <c r="F16" s="17"/>
      <c r="N16" s="527"/>
      <c r="O16" s="338" t="s">
        <v>99</v>
      </c>
      <c r="P16" s="766">
        <f>(V13-P13)/P17</f>
        <v>1.8335831545699961E-3</v>
      </c>
      <c r="Q16" s="766">
        <f t="shared" ref="Q16" si="20">(W13-Q13)/Q17</f>
        <v>-0.2195978540849568</v>
      </c>
      <c r="R16" s="766">
        <f>(X13-R13)/R17</f>
        <v>-0.34181925746478031</v>
      </c>
      <c r="S16" s="336"/>
      <c r="T16" s="336"/>
      <c r="U16" s="802" t="s">
        <v>99</v>
      </c>
      <c r="V16" s="336">
        <f>((J33-J13)/(J34+J14)/2)</f>
        <v>1.5174099856211222E-2</v>
      </c>
      <c r="W16" s="313"/>
      <c r="X16" s="313"/>
      <c r="Z16" s="1163">
        <v>73.5</v>
      </c>
      <c r="AA16" s="1169">
        <v>6.37</v>
      </c>
      <c r="AB16" t="s">
        <v>291</v>
      </c>
      <c r="AC16" t="s">
        <v>291</v>
      </c>
    </row>
    <row r="17" spans="2:29">
      <c r="N17" s="313"/>
      <c r="O17" s="334" t="s">
        <v>100</v>
      </c>
      <c r="P17" s="313">
        <f>SQRT((((7-1)*(J14^2)+((9-1)*D14^2))/(9+7-2)))</f>
        <v>6.9254632203432331</v>
      </c>
      <c r="Q17" s="313">
        <f t="shared" ref="Q17" si="21">SQRT((((7-1)*(K14^2)+((9-1)*E14^2))/(9+7-2)))</f>
        <v>598.99403289212205</v>
      </c>
      <c r="R17" s="313">
        <f>SQRT((((7-1)*(L14^2)+((9-1)*F14^2))/(9+7-2)))</f>
        <v>4.6965066037743295</v>
      </c>
      <c r="S17" s="313"/>
      <c r="T17" s="313"/>
      <c r="U17" s="313"/>
      <c r="V17" s="313"/>
      <c r="W17" s="313"/>
      <c r="X17" s="313"/>
      <c r="Z17" s="1164">
        <v>67.5</v>
      </c>
      <c r="AA17" s="1170">
        <v>5.8</v>
      </c>
      <c r="AB17" t="s">
        <v>292</v>
      </c>
      <c r="AC17" t="s">
        <v>294</v>
      </c>
    </row>
    <row r="18" spans="2:29">
      <c r="Z18" s="1164">
        <v>71.5</v>
      </c>
      <c r="AA18" s="1170">
        <v>5.96</v>
      </c>
      <c r="AB18" t="s">
        <v>291</v>
      </c>
      <c r="AC18" t="s">
        <v>291</v>
      </c>
    </row>
    <row r="19" spans="2:29">
      <c r="Z19" s="1164">
        <v>72.599999999999994</v>
      </c>
      <c r="AA19" s="1170">
        <v>5.83</v>
      </c>
      <c r="AB19" t="s">
        <v>291</v>
      </c>
      <c r="AC19" t="s">
        <v>294</v>
      </c>
    </row>
    <row r="20" spans="2:29">
      <c r="Z20" s="1164">
        <v>79.7</v>
      </c>
      <c r="AA20" s="1170">
        <v>5.99</v>
      </c>
      <c r="AB20" t="s">
        <v>293</v>
      </c>
      <c r="AC20" t="s">
        <v>291</v>
      </c>
    </row>
    <row r="21" spans="2:29" ht="16" thickBot="1"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Z21" s="1164">
        <v>68.8</v>
      </c>
      <c r="AA21" s="1170">
        <v>5.53</v>
      </c>
      <c r="AB21" t="s">
        <v>292</v>
      </c>
      <c r="AC21" t="s">
        <v>291</v>
      </c>
    </row>
    <row r="22" spans="2:29" ht="16" thickBot="1">
      <c r="B22" s="1344" t="s">
        <v>157</v>
      </c>
      <c r="C22" s="1389"/>
      <c r="D22" s="6" t="s">
        <v>31</v>
      </c>
      <c r="E22" s="768" t="s">
        <v>138</v>
      </c>
      <c r="F22" s="769" t="s">
        <v>138</v>
      </c>
      <c r="H22" s="1344" t="s">
        <v>157</v>
      </c>
      <c r="I22" s="1389"/>
      <c r="J22" s="6" t="s">
        <v>31</v>
      </c>
      <c r="K22" s="768" t="s">
        <v>138</v>
      </c>
      <c r="L22" s="769" t="s">
        <v>138</v>
      </c>
      <c r="N22" s="1385" t="s">
        <v>177</v>
      </c>
      <c r="O22" s="1386"/>
      <c r="P22" s="850" t="s">
        <v>31</v>
      </c>
      <c r="Q22" s="832" t="s">
        <v>138</v>
      </c>
      <c r="R22" s="833" t="s">
        <v>138</v>
      </c>
      <c r="S22" s="554"/>
      <c r="T22" s="1385" t="s">
        <v>182</v>
      </c>
      <c r="U22" s="1386"/>
      <c r="V22" s="850" t="s">
        <v>31</v>
      </c>
      <c r="W22" s="832" t="s">
        <v>138</v>
      </c>
      <c r="X22" s="833" t="s">
        <v>138</v>
      </c>
      <c r="Z22" s="1165">
        <v>80.099999999999994</v>
      </c>
      <c r="AA22" s="1171">
        <v>6.29</v>
      </c>
      <c r="AB22" t="s">
        <v>291</v>
      </c>
      <c r="AC22" t="s">
        <v>291</v>
      </c>
    </row>
    <row r="23" spans="2:29" ht="16" thickBot="1">
      <c r="B23" s="1336"/>
      <c r="C23" s="1390"/>
      <c r="D23" s="747" t="s">
        <v>2</v>
      </c>
      <c r="E23" s="770" t="s">
        <v>139</v>
      </c>
      <c r="F23" s="771" t="s">
        <v>212</v>
      </c>
      <c r="H23" s="1336"/>
      <c r="I23" s="1390"/>
      <c r="J23" s="747" t="s">
        <v>2</v>
      </c>
      <c r="K23" s="770" t="s">
        <v>139</v>
      </c>
      <c r="L23" s="771" t="s">
        <v>212</v>
      </c>
      <c r="N23" s="1387"/>
      <c r="O23" s="1388"/>
      <c r="P23" s="851" t="s">
        <v>2</v>
      </c>
      <c r="Q23" s="838" t="s">
        <v>139</v>
      </c>
      <c r="R23" s="564" t="s">
        <v>212</v>
      </c>
      <c r="S23" s="554"/>
      <c r="T23" s="1387"/>
      <c r="U23" s="1388"/>
      <c r="V23" s="851" t="s">
        <v>2</v>
      </c>
      <c r="W23" s="838" t="s">
        <v>139</v>
      </c>
      <c r="X23" s="564" t="s">
        <v>212</v>
      </c>
    </row>
    <row r="24" spans="2:29" ht="16" thickBot="1">
      <c r="B24" s="541" t="s">
        <v>60</v>
      </c>
      <c r="C24" s="518" t="s">
        <v>57</v>
      </c>
      <c r="D24" s="548">
        <v>80.5</v>
      </c>
      <c r="E24" s="772">
        <f>'[18]Laktatprofil+VO2max'!$I$24</f>
        <v>6106.916666666667</v>
      </c>
      <c r="F24" s="773">
        <f>E24/D24</f>
        <v>75.862318840579718</v>
      </c>
      <c r="H24" s="544" t="s">
        <v>61</v>
      </c>
      <c r="I24" s="516" t="s">
        <v>58</v>
      </c>
      <c r="J24" s="548">
        <v>74.8</v>
      </c>
      <c r="K24" s="772">
        <f>'[19]Laktatprofil+VO2max'!$I$24</f>
        <v>5337.25</v>
      </c>
      <c r="L24" s="779">
        <f>K24/J24</f>
        <v>71.353609625668454</v>
      </c>
      <c r="N24" s="565" t="s">
        <v>60</v>
      </c>
      <c r="O24" s="806" t="s">
        <v>57</v>
      </c>
      <c r="P24" s="807">
        <f>(D24-D4)/D4*100</f>
        <v>0.87719298245614397</v>
      </c>
      <c r="Q24" s="816">
        <f t="shared" ref="Q24" si="22">(E24-E4)/E4*100</f>
        <v>3.4106623768803144</v>
      </c>
      <c r="R24" s="817">
        <f>(F24-F4)/F4*100</f>
        <v>2.5114392257770102</v>
      </c>
      <c r="S24" s="554"/>
      <c r="T24" s="567" t="s">
        <v>61</v>
      </c>
      <c r="U24" s="834" t="s">
        <v>58</v>
      </c>
      <c r="V24" s="807">
        <f>(J24-J4)/J4*100</f>
        <v>1.0810810810810774</v>
      </c>
      <c r="W24" s="816">
        <f t="shared" ref="W24" si="23">(K24-K4)/K4*100</f>
        <v>-1.8722517581087443</v>
      </c>
      <c r="X24" s="817">
        <f>(L24-L4)/L4*100</f>
        <v>-2.9217463917118551</v>
      </c>
    </row>
    <row r="25" spans="2:29">
      <c r="B25" s="541" t="s">
        <v>60</v>
      </c>
      <c r="C25" s="518" t="s">
        <v>59</v>
      </c>
      <c r="D25" s="50">
        <v>71.599999999999994</v>
      </c>
      <c r="E25" s="774">
        <f>'[20]Laktatprofil+VO2max'!$I$24</f>
        <v>5187.916666666667</v>
      </c>
      <c r="F25" s="775">
        <f t="shared" ref="F25:F32" si="24">E25/D25</f>
        <v>72.456936685288653</v>
      </c>
      <c r="H25" s="545" t="s">
        <v>61</v>
      </c>
      <c r="I25" s="518" t="s">
        <v>63</v>
      </c>
      <c r="J25" s="50">
        <v>74.2</v>
      </c>
      <c r="K25" s="774">
        <f>'[21]Laktatprofil+VO2max'!$I$24</f>
        <v>5162.833333333333</v>
      </c>
      <c r="L25" s="780">
        <f t="shared" ref="L25:L30" si="25">K25/J25</f>
        <v>69.579964061096135</v>
      </c>
      <c r="N25" s="565" t="s">
        <v>60</v>
      </c>
      <c r="O25" s="806" t="s">
        <v>59</v>
      </c>
      <c r="P25" s="808">
        <f t="shared" ref="P25:P32" si="26">(D25-D5)/D5*100</f>
        <v>-0.69348127600554788</v>
      </c>
      <c r="Q25" s="815">
        <f t="shared" ref="Q25:Q32" si="27">(E25-E5)/E5*100</f>
        <v>-8.8172830465031016</v>
      </c>
      <c r="R25" s="818">
        <f t="shared" ref="R25:R32" si="28">(F25-F5)/F5*100</f>
        <v>-8.1805322297887315</v>
      </c>
      <c r="S25" s="554"/>
      <c r="T25" s="565" t="s">
        <v>61</v>
      </c>
      <c r="U25" s="806" t="s">
        <v>63</v>
      </c>
      <c r="V25" s="808">
        <f t="shared" ref="V25:V30" si="29">(J25-J5)/J5*100</f>
        <v>0.27027027027027412</v>
      </c>
      <c r="W25" s="815">
        <f t="shared" ref="W25:W30" si="30">(K25-K5)/K5*100</f>
        <v>3.4100582530753951</v>
      </c>
      <c r="X25" s="818">
        <f t="shared" ref="X25:X30" si="31">(L25-L5)/L5*100</f>
        <v>3.1313249424202145</v>
      </c>
      <c r="Z25" s="773">
        <v>74.003759398496243</v>
      </c>
    </row>
    <row r="26" spans="2:29">
      <c r="B26" s="541" t="s">
        <v>60</v>
      </c>
      <c r="C26" s="518" t="s">
        <v>62</v>
      </c>
      <c r="D26" s="50">
        <v>74.3</v>
      </c>
      <c r="E26" s="776">
        <f>'[22]Laktatprofil+VO2max 19.10.18'!$I$24</f>
        <v>4676.583333333333</v>
      </c>
      <c r="F26" s="775">
        <f t="shared" si="24"/>
        <v>62.941902198295196</v>
      </c>
      <c r="H26" s="545" t="s">
        <v>61</v>
      </c>
      <c r="I26" s="518" t="s">
        <v>65</v>
      </c>
      <c r="J26" s="50">
        <v>85.9</v>
      </c>
      <c r="K26" s="776">
        <f>'[23]Laktatprofil+VO2max'!$I$24</f>
        <v>5881.333333333333</v>
      </c>
      <c r="L26" s="780">
        <f t="shared" si="25"/>
        <v>68.467209934031814</v>
      </c>
      <c r="N26" s="565" t="s">
        <v>60</v>
      </c>
      <c r="O26" s="806" t="s">
        <v>62</v>
      </c>
      <c r="P26" s="808">
        <f t="shared" si="26"/>
        <v>2.0604395604395602</v>
      </c>
      <c r="Q26" s="815">
        <f t="shared" si="27"/>
        <v>-0.18320230514746411</v>
      </c>
      <c r="R26" s="818">
        <f t="shared" si="28"/>
        <v>-2.1983462693773359</v>
      </c>
      <c r="S26" s="554"/>
      <c r="T26" s="565" t="s">
        <v>61</v>
      </c>
      <c r="U26" s="806" t="s">
        <v>65</v>
      </c>
      <c r="V26" s="808">
        <f t="shared" si="29"/>
        <v>2.3837902264600714</v>
      </c>
      <c r="W26" s="815">
        <f t="shared" si="30"/>
        <v>-1.9573522261582326</v>
      </c>
      <c r="X26" s="818">
        <f t="shared" si="31"/>
        <v>-4.2400681231044839</v>
      </c>
      <c r="Z26" s="775">
        <v>78.912390198797965</v>
      </c>
    </row>
    <row r="27" spans="2:29">
      <c r="B27" s="541" t="s">
        <v>60</v>
      </c>
      <c r="C27" s="518" t="s">
        <v>64</v>
      </c>
      <c r="D27" s="50">
        <v>64.2</v>
      </c>
      <c r="E27" s="776">
        <f>'[24]Laktatprofil+VO2max'!$I$24</f>
        <v>4219.75</v>
      </c>
      <c r="F27" s="775">
        <f t="shared" si="24"/>
        <v>65.728193146417439</v>
      </c>
      <c r="H27" s="546" t="s">
        <v>61</v>
      </c>
      <c r="I27" s="518" t="s">
        <v>66</v>
      </c>
      <c r="J27" s="50">
        <v>86.4</v>
      </c>
      <c r="K27" s="776">
        <f>'[25]Laktatprofil+VO2max'!$I$24</f>
        <v>5794.166666666667</v>
      </c>
      <c r="L27" s="780">
        <f t="shared" si="25"/>
        <v>67.06211419753086</v>
      </c>
      <c r="N27" s="565" t="s">
        <v>60</v>
      </c>
      <c r="O27" s="806" t="s">
        <v>64</v>
      </c>
      <c r="P27" s="808">
        <f t="shared" si="26"/>
        <v>1.582278481012658</v>
      </c>
      <c r="Q27" s="815">
        <f t="shared" si="27"/>
        <v>-0.46390030074893085</v>
      </c>
      <c r="R27" s="818">
        <f t="shared" si="28"/>
        <v>-2.014306838120449</v>
      </c>
      <c r="S27" s="554"/>
      <c r="T27" s="570" t="s">
        <v>61</v>
      </c>
      <c r="U27" s="806" t="s">
        <v>66</v>
      </c>
      <c r="V27" s="808">
        <f t="shared" si="29"/>
        <v>0.69930069930070926</v>
      </c>
      <c r="W27" s="815">
        <f t="shared" si="30"/>
        <v>-7.0230804204220174</v>
      </c>
      <c r="X27" s="818">
        <f t="shared" si="31"/>
        <v>-7.6687534730579836</v>
      </c>
      <c r="Z27" s="775">
        <v>64.356684981684992</v>
      </c>
    </row>
    <row r="28" spans="2:29">
      <c r="B28" s="542" t="s">
        <v>60</v>
      </c>
      <c r="C28" s="518" t="s">
        <v>67</v>
      </c>
      <c r="D28" s="50">
        <v>74.099999999999994</v>
      </c>
      <c r="E28" s="776">
        <f>'[26]Laktatprofil+VO2max'!$I$24</f>
        <v>5389</v>
      </c>
      <c r="F28" s="775">
        <f t="shared" si="24"/>
        <v>72.726045883940628</v>
      </c>
      <c r="H28" s="545" t="s">
        <v>61</v>
      </c>
      <c r="I28" s="518" t="s">
        <v>69</v>
      </c>
      <c r="J28" s="50">
        <v>70.5</v>
      </c>
      <c r="K28" s="776">
        <f>'[27]Laktatprofil+VO2max'!$I$24</f>
        <v>5600.51</v>
      </c>
      <c r="L28" s="780">
        <f t="shared" si="25"/>
        <v>79.439858156028379</v>
      </c>
      <c r="N28" s="570" t="s">
        <v>60</v>
      </c>
      <c r="O28" s="806" t="s">
        <v>67</v>
      </c>
      <c r="P28" s="808">
        <f t="shared" si="26"/>
        <v>0.27063599458726467</v>
      </c>
      <c r="Q28" s="815">
        <f t="shared" si="27"/>
        <v>-2.3893978958808222</v>
      </c>
      <c r="R28" s="818">
        <f t="shared" si="28"/>
        <v>-2.6528543118163399</v>
      </c>
      <c r="S28" s="554"/>
      <c r="T28" s="565" t="s">
        <v>61</v>
      </c>
      <c r="U28" s="806" t="s">
        <v>69</v>
      </c>
      <c r="V28" s="808">
        <f t="shared" si="29"/>
        <v>-0.70422535211267612</v>
      </c>
      <c r="W28" s="815">
        <f t="shared" si="30"/>
        <v>-1.0503316426063116</v>
      </c>
      <c r="X28" s="818">
        <f t="shared" si="31"/>
        <v>-0.34856094503613622</v>
      </c>
      <c r="Z28" s="775">
        <v>67.079377637130804</v>
      </c>
    </row>
    <row r="29" spans="2:29">
      <c r="B29" s="541" t="s">
        <v>60</v>
      </c>
      <c r="C29" s="518" t="s">
        <v>68</v>
      </c>
      <c r="D29" s="50">
        <v>76.599999999999994</v>
      </c>
      <c r="E29" s="776">
        <f>'[28]Laktatprofil+VO2max'!$I$24</f>
        <v>5068.416666666667</v>
      </c>
      <c r="F29" s="775">
        <f t="shared" si="24"/>
        <v>66.167319408181029</v>
      </c>
      <c r="H29" s="545" t="s">
        <v>61</v>
      </c>
      <c r="I29" s="518" t="s">
        <v>70</v>
      </c>
      <c r="J29" s="50">
        <v>61.9</v>
      </c>
      <c r="K29" s="776">
        <f>'[29]CORRECTED Laktatprofil+VO2max'!$I$24</f>
        <v>4485.3900000000003</v>
      </c>
      <c r="L29" s="780">
        <f t="shared" si="25"/>
        <v>72.461873990306955</v>
      </c>
      <c r="N29" s="565" t="s">
        <v>60</v>
      </c>
      <c r="O29" s="806" t="s">
        <v>68</v>
      </c>
      <c r="P29" s="808">
        <f t="shared" si="26"/>
        <v>0.65703022339027606</v>
      </c>
      <c r="Q29" s="815">
        <f t="shared" si="27"/>
        <v>-0.7360621491056214</v>
      </c>
      <c r="R29" s="818">
        <f t="shared" si="28"/>
        <v>-1.3839990802472404</v>
      </c>
      <c r="S29" s="554"/>
      <c r="T29" s="565" t="s">
        <v>61</v>
      </c>
      <c r="U29" s="806" t="s">
        <v>70</v>
      </c>
      <c r="V29" s="808">
        <f t="shared" si="29"/>
        <v>1.4754098360655714</v>
      </c>
      <c r="W29" s="815">
        <f t="shared" si="30"/>
        <v>6.9528403226825795</v>
      </c>
      <c r="X29" s="818">
        <f t="shared" si="31"/>
        <v>5.3977909480393889</v>
      </c>
      <c r="Z29" s="775">
        <v>74.707938655841218</v>
      </c>
    </row>
    <row r="30" spans="2:29" ht="16" thickBot="1">
      <c r="B30" s="541" t="s">
        <v>60</v>
      </c>
      <c r="C30" s="518" t="s">
        <v>71</v>
      </c>
      <c r="D30" s="50">
        <v>79</v>
      </c>
      <c r="E30" s="776">
        <f>'[30]CORRECTED Laktatprofil+VO2max'!$I$24</f>
        <v>5883.3533333333335</v>
      </c>
      <c r="F30" s="775">
        <f t="shared" si="24"/>
        <v>74.472827004219411</v>
      </c>
      <c r="H30" s="547" t="s">
        <v>61</v>
      </c>
      <c r="I30" s="517" t="s">
        <v>74</v>
      </c>
      <c r="J30" s="58">
        <v>65.5</v>
      </c>
      <c r="K30" s="777">
        <f>'[31]Laktatprofil+VO2max'!$I$24</f>
        <v>4685.288333333333</v>
      </c>
      <c r="L30" s="781">
        <f t="shared" si="25"/>
        <v>71.531119592875314</v>
      </c>
      <c r="N30" s="565" t="s">
        <v>60</v>
      </c>
      <c r="O30" s="806" t="s">
        <v>71</v>
      </c>
      <c r="P30" s="808">
        <f t="shared" si="26"/>
        <v>1.1523687580025681</v>
      </c>
      <c r="Q30" s="815">
        <f t="shared" si="27"/>
        <v>4.1305775304086696</v>
      </c>
      <c r="R30" s="818">
        <f t="shared" si="28"/>
        <v>2.9442798117078115</v>
      </c>
      <c r="S30" s="554"/>
      <c r="T30" s="571" t="s">
        <v>61</v>
      </c>
      <c r="U30" s="835" t="s">
        <v>74</v>
      </c>
      <c r="V30" s="810">
        <f t="shared" si="29"/>
        <v>-0.15243902439023527</v>
      </c>
      <c r="W30" s="819">
        <f t="shared" si="30"/>
        <v>-10.837479827864453</v>
      </c>
      <c r="X30" s="820">
        <f t="shared" si="31"/>
        <v>-10.701353842868828</v>
      </c>
      <c r="Z30" s="775">
        <v>67.095926412614986</v>
      </c>
    </row>
    <row r="31" spans="2:29">
      <c r="B31" s="541" t="s">
        <v>60</v>
      </c>
      <c r="C31" s="518" t="s">
        <v>72</v>
      </c>
      <c r="D31" s="50">
        <v>72</v>
      </c>
      <c r="E31" s="776">
        <f>'[32]CORRECTED Laktatprofil+VO2max'!$I$24</f>
        <v>5208.663333333333</v>
      </c>
      <c r="F31" s="775">
        <f t="shared" si="24"/>
        <v>72.342546296296291</v>
      </c>
      <c r="H31" s="518"/>
      <c r="I31" s="518"/>
      <c r="J31" s="518"/>
      <c r="K31" s="746"/>
      <c r="N31" s="565" t="s">
        <v>60</v>
      </c>
      <c r="O31" s="806" t="s">
        <v>72</v>
      </c>
      <c r="P31" s="808">
        <f t="shared" si="26"/>
        <v>1.551480959097312</v>
      </c>
      <c r="Q31" s="815">
        <f t="shared" si="27"/>
        <v>3.3276674785778102</v>
      </c>
      <c r="R31" s="818">
        <f t="shared" si="28"/>
        <v>1.7490503365439842</v>
      </c>
      <c r="S31" s="554"/>
      <c r="T31" s="812"/>
      <c r="U31" s="806"/>
      <c r="V31" s="806"/>
      <c r="W31" s="554"/>
      <c r="X31" s="554"/>
      <c r="Z31" s="775">
        <v>72.342851045667956</v>
      </c>
    </row>
    <row r="32" spans="2:29" ht="16" thickBot="1">
      <c r="B32" s="543" t="s">
        <v>60</v>
      </c>
      <c r="C32" s="517" t="s">
        <v>73</v>
      </c>
      <c r="D32" s="41">
        <v>70.8</v>
      </c>
      <c r="E32" s="777">
        <f>'[33]CORRECTED Laktatprofil+VO2max'!$I$24</f>
        <v>5384.4466666666676</v>
      </c>
      <c r="F32" s="778">
        <f t="shared" si="24"/>
        <v>76.051506591337116</v>
      </c>
      <c r="H32" s="518"/>
      <c r="I32" s="17"/>
      <c r="J32" s="17"/>
      <c r="K32" s="17"/>
      <c r="N32" s="571" t="s">
        <v>60</v>
      </c>
      <c r="O32" s="835" t="s">
        <v>73</v>
      </c>
      <c r="P32" s="810">
        <f t="shared" si="26"/>
        <v>-0.70126227208976166</v>
      </c>
      <c r="Q32" s="819">
        <f t="shared" si="27"/>
        <v>4.2856409642264568</v>
      </c>
      <c r="R32" s="820">
        <f t="shared" si="28"/>
        <v>5.0221214795105373</v>
      </c>
      <c r="S32" s="554"/>
      <c r="T32" s="812"/>
      <c r="U32" s="852"/>
      <c r="V32" s="852"/>
      <c r="W32" s="554"/>
      <c r="X32" s="554"/>
      <c r="Z32" s="775">
        <v>71.098989186647856</v>
      </c>
    </row>
    <row r="33" spans="2:26" ht="16" thickBot="1">
      <c r="B33" s="17"/>
      <c r="C33" s="16" t="s">
        <v>76</v>
      </c>
      <c r="D33" s="36">
        <f>AVERAGE(D24:D32)</f>
        <v>73.677777777777763</v>
      </c>
      <c r="E33" s="36">
        <f t="shared" ref="E33:F33" si="32">AVERAGE(E24:E32)</f>
        <v>5236.1162962962962</v>
      </c>
      <c r="F33" s="36">
        <f t="shared" si="32"/>
        <v>70.972177339395046</v>
      </c>
      <c r="H33" s="518"/>
      <c r="I33" s="16" t="s">
        <v>76</v>
      </c>
      <c r="J33" s="26">
        <f t="shared" ref="J33:L33" si="33">AVERAGE(J24:J30)</f>
        <v>74.171428571428578</v>
      </c>
      <c r="K33" s="26">
        <f t="shared" si="33"/>
        <v>5278.110238095237</v>
      </c>
      <c r="L33" s="26">
        <f t="shared" si="33"/>
        <v>71.413678508219704</v>
      </c>
      <c r="N33" s="806"/>
      <c r="O33" s="572" t="s">
        <v>76</v>
      </c>
      <c r="P33" s="811">
        <f>AVERAGE(P24:P32)</f>
        <v>0.75074260121005254</v>
      </c>
      <c r="Q33" s="811">
        <f t="shared" ref="Q33" si="34">AVERAGE(Q24:Q32)</f>
        <v>0.28496696141192346</v>
      </c>
      <c r="R33" s="811">
        <f>AVERAGE(R24:R32)</f>
        <v>-0.46701643064563914</v>
      </c>
      <c r="S33" s="554"/>
      <c r="T33" s="812"/>
      <c r="U33" s="572" t="s">
        <v>76</v>
      </c>
      <c r="V33" s="812">
        <f>AVERAGE(V24:V30)</f>
        <v>0.72188396238211328</v>
      </c>
      <c r="W33" s="812">
        <f t="shared" ref="W33:X33" si="35">AVERAGE(W24:W30)</f>
        <v>-1.7682281856288262</v>
      </c>
      <c r="X33" s="812">
        <f t="shared" si="35"/>
        <v>-2.4787666979028118</v>
      </c>
      <c r="Z33" s="778">
        <v>72.414749883122965</v>
      </c>
    </row>
    <row r="34" spans="2:26">
      <c r="B34" s="17"/>
      <c r="C34" s="16" t="s">
        <v>13</v>
      </c>
      <c r="D34" s="36">
        <f>STDEVA(D24:D32)</f>
        <v>4.863326479318907</v>
      </c>
      <c r="E34" s="36">
        <f t="shared" ref="E34:F34" si="36">STDEVA(E24:E32)</f>
        <v>570.07258451457358</v>
      </c>
      <c r="F34" s="36">
        <f t="shared" si="36"/>
        <v>4.7984039363234752</v>
      </c>
      <c r="H34" s="518"/>
      <c r="I34" s="16" t="s">
        <v>13</v>
      </c>
      <c r="J34" s="26">
        <f t="shared" ref="J34:L34" si="37">STDEVA(J24:J30)</f>
        <v>9.3697588524134705</v>
      </c>
      <c r="K34" s="26">
        <f t="shared" si="37"/>
        <v>537.08525230105295</v>
      </c>
      <c r="L34" s="26">
        <f t="shared" si="37"/>
        <v>4.0107350088836524</v>
      </c>
      <c r="N34" s="806"/>
      <c r="O34" s="572" t="s">
        <v>13</v>
      </c>
      <c r="P34" s="811">
        <f>STDEVA(P24:P32)</f>
        <v>0.97843103704533396</v>
      </c>
      <c r="Q34" s="811">
        <f t="shared" ref="Q34:R34" si="38">STDEVA(Q24:Q32)</f>
        <v>4.2078465257204316</v>
      </c>
      <c r="R34" s="811">
        <f t="shared" si="38"/>
        <v>3.9695467009051293</v>
      </c>
      <c r="S34" s="554"/>
      <c r="T34" s="806"/>
      <c r="U34" s="572" t="s">
        <v>13</v>
      </c>
      <c r="V34" s="812">
        <f t="shared" ref="V34:X34" si="39">STDEVA(V24:V30)</f>
        <v>1.0377419104105494</v>
      </c>
      <c r="W34" s="812">
        <f t="shared" si="39"/>
        <v>5.9623603824388045</v>
      </c>
      <c r="X34" s="812">
        <f t="shared" si="39"/>
        <v>5.7139650698181219</v>
      </c>
      <c r="Z34" s="779">
        <v>73.501126126126124</v>
      </c>
    </row>
    <row r="35" spans="2:26">
      <c r="B35" s="17"/>
      <c r="C35" s="16" t="s">
        <v>14</v>
      </c>
      <c r="D35" s="36">
        <f>D34/SQRT(COUNT(D24:D32))</f>
        <v>1.6211088264396356</v>
      </c>
      <c r="E35" s="36">
        <f t="shared" ref="E35:F35" si="40">E34/SQRT(COUNT(E24:E32))</f>
        <v>190.02419483819119</v>
      </c>
      <c r="F35" s="36">
        <f t="shared" si="40"/>
        <v>1.5994679787744916</v>
      </c>
      <c r="H35" s="518"/>
      <c r="I35" s="16" t="s">
        <v>14</v>
      </c>
      <c r="J35" s="26">
        <f t="shared" ref="J35:L35" si="41">J34/SQRT(COUNT(J24:J30))</f>
        <v>3.5414359668759987</v>
      </c>
      <c r="K35" s="26">
        <f t="shared" si="41"/>
        <v>202.99914434699531</v>
      </c>
      <c r="L35" s="26">
        <f t="shared" si="41"/>
        <v>1.5159153440123678</v>
      </c>
      <c r="N35" s="806"/>
      <c r="O35" s="572" t="s">
        <v>14</v>
      </c>
      <c r="P35" s="811">
        <f>P34/SQRT(COUNT(P24:P32))</f>
        <v>0.32614367901511132</v>
      </c>
      <c r="Q35" s="811">
        <f t="shared" ref="Q35:R35" si="42">Q34/SQRT(COUNT(Q24:Q32))</f>
        <v>1.4026155085734773</v>
      </c>
      <c r="R35" s="811">
        <f t="shared" si="42"/>
        <v>1.3231822336350432</v>
      </c>
      <c r="S35" s="554"/>
      <c r="T35" s="806"/>
      <c r="U35" s="572" t="s">
        <v>14</v>
      </c>
      <c r="V35" s="812">
        <f t="shared" ref="V35:X35" si="43">V34/SQRT(COUNT(V24:V30))</f>
        <v>0.392229574287912</v>
      </c>
      <c r="W35" s="812">
        <f t="shared" si="43"/>
        <v>2.2535603998395772</v>
      </c>
      <c r="X35" s="812">
        <f t="shared" si="43"/>
        <v>2.1596757964069386</v>
      </c>
      <c r="Z35" s="780">
        <v>67.467342342342334</v>
      </c>
    </row>
    <row r="36" spans="2:26">
      <c r="B36" s="518"/>
      <c r="C36" s="111" t="s">
        <v>99</v>
      </c>
      <c r="D36" s="756">
        <f>(D33-D13)/D14</f>
        <v>0.11270064591742644</v>
      </c>
      <c r="E36" s="22"/>
      <c r="F36" s="22"/>
      <c r="G36" s="18"/>
      <c r="H36" s="518"/>
      <c r="I36" s="426" t="s">
        <v>99</v>
      </c>
      <c r="J36" s="757">
        <f>(J33-J13)/J14</f>
        <v>6.1983338515284571E-2</v>
      </c>
      <c r="K36" s="2">
        <f t="shared" ref="K36" si="44">(K33-K13)/K14</f>
        <v>-0.17351789270528301</v>
      </c>
      <c r="L36" s="2">
        <f>(L33-L13)/L14</f>
        <v>-0.39911637747576001</v>
      </c>
      <c r="N36" s="806"/>
      <c r="O36" s="852" t="s">
        <v>99</v>
      </c>
      <c r="P36" s="853"/>
      <c r="Q36" s="853"/>
      <c r="R36" s="853"/>
      <c r="S36" s="574"/>
      <c r="T36" s="574"/>
      <c r="U36" s="812" t="s">
        <v>99</v>
      </c>
      <c r="V36" s="574"/>
      <c r="W36" s="554"/>
      <c r="X36" s="554"/>
      <c r="Z36" s="780">
        <v>71.498808104886763</v>
      </c>
    </row>
    <row r="37" spans="2:26">
      <c r="B37" s="518"/>
      <c r="C37" s="17" t="s">
        <v>78</v>
      </c>
      <c r="D37" s="37">
        <f>TTEST(D4:D12,D24:D32,2,1)</f>
        <v>4.7072114546273372E-2</v>
      </c>
      <c r="E37" s="881"/>
      <c r="F37" s="881"/>
      <c r="G37" s="18"/>
      <c r="H37" s="518"/>
      <c r="I37" s="518" t="s">
        <v>78</v>
      </c>
      <c r="J37" s="23">
        <f>TTEST(J4:J10,J24:J30,2,1)</f>
        <v>0.11866906159144665</v>
      </c>
      <c r="K37" s="23"/>
      <c r="Z37" s="780">
        <v>72.632090132090127</v>
      </c>
    </row>
    <row r="38" spans="2:26">
      <c r="B38" s="518"/>
      <c r="C38" s="17" t="s">
        <v>80</v>
      </c>
      <c r="D38" s="22">
        <f>(D33-D13)/D13*100</f>
        <v>0.74445457307808194</v>
      </c>
      <c r="E38" s="22"/>
      <c r="F38" s="22"/>
      <c r="H38" s="518"/>
      <c r="I38" s="518" t="s">
        <v>80</v>
      </c>
      <c r="J38" s="2">
        <f>(J33-J13)/J13*100</f>
        <v>0.75684067533476584</v>
      </c>
      <c r="K38" s="2"/>
      <c r="Z38" s="780">
        <v>79.717723004694832</v>
      </c>
    </row>
    <row r="39" spans="2:26">
      <c r="H39" s="518"/>
      <c r="I39" s="518"/>
      <c r="J39" s="518"/>
      <c r="K39" s="746"/>
      <c r="Z39" s="780">
        <v>68.750846994535507</v>
      </c>
    </row>
    <row r="40" spans="2:26" ht="16" thickBot="1">
      <c r="Z40" s="781">
        <v>80.103252032520331</v>
      </c>
    </row>
    <row r="41" spans="2:26">
      <c r="Z41" s="124">
        <f>AVERAGE(Z25:Z40)</f>
        <v>72.230241008575064</v>
      </c>
    </row>
    <row r="42" spans="2:26">
      <c r="Z42" s="124">
        <f>STDEVA(Z25:Z40)</f>
        <v>4.6568737146921331</v>
      </c>
    </row>
  </sheetData>
  <mergeCells count="8">
    <mergeCell ref="N2:O3"/>
    <mergeCell ref="N22:O23"/>
    <mergeCell ref="T2:U3"/>
    <mergeCell ref="T22:U23"/>
    <mergeCell ref="B2:C3"/>
    <mergeCell ref="H2:I3"/>
    <mergeCell ref="B22:C23"/>
    <mergeCell ref="H22:I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6"/>
  <sheetViews>
    <sheetView zoomScale="74" workbookViewId="0">
      <selection activeCell="AF51" sqref="AF51"/>
    </sheetView>
  </sheetViews>
  <sheetFormatPr baseColWidth="10" defaultRowHeight="15.5"/>
  <cols>
    <col min="5" max="5" width="12" bestFit="1" customWidth="1"/>
    <col min="6" max="6" width="12" customWidth="1"/>
  </cols>
  <sheetData>
    <row r="1" spans="2:20" ht="16" thickBot="1"/>
    <row r="2" spans="2:20" ht="16" thickBot="1">
      <c r="B2" s="1331" t="s">
        <v>47</v>
      </c>
      <c r="C2" s="1332"/>
      <c r="K2" s="1331" t="s">
        <v>47</v>
      </c>
      <c r="L2" s="1332"/>
    </row>
    <row r="3" spans="2:20" ht="16" thickBot="1">
      <c r="B3" s="1344" t="s">
        <v>77</v>
      </c>
      <c r="C3" s="1391"/>
      <c r="D3" s="365" t="s">
        <v>31</v>
      </c>
      <c r="E3" s="408" t="s">
        <v>183</v>
      </c>
      <c r="F3" s="408" t="s">
        <v>209</v>
      </c>
      <c r="G3" s="196" t="s">
        <v>186</v>
      </c>
      <c r="H3" s="367" t="s">
        <v>184</v>
      </c>
      <c r="K3" s="1344" t="s">
        <v>77</v>
      </c>
      <c r="L3" s="1391"/>
      <c r="M3" s="365" t="s">
        <v>31</v>
      </c>
      <c r="N3" s="408" t="s">
        <v>183</v>
      </c>
      <c r="O3" s="408" t="s">
        <v>209</v>
      </c>
      <c r="P3" s="196" t="s">
        <v>186</v>
      </c>
      <c r="Q3" s="367" t="s">
        <v>184</v>
      </c>
    </row>
    <row r="4" spans="2:20" ht="16" thickBot="1">
      <c r="B4" s="1336"/>
      <c r="C4" s="1392"/>
      <c r="D4" s="366" t="s">
        <v>2</v>
      </c>
      <c r="E4" s="409" t="s">
        <v>20</v>
      </c>
      <c r="F4" s="520" t="s">
        <v>21</v>
      </c>
      <c r="G4" s="407" t="s">
        <v>185</v>
      </c>
      <c r="H4" s="410"/>
      <c r="K4" s="1336"/>
      <c r="L4" s="1392"/>
      <c r="M4" s="552" t="s">
        <v>2</v>
      </c>
      <c r="N4" s="551" t="s">
        <v>20</v>
      </c>
      <c r="O4" s="551" t="s">
        <v>21</v>
      </c>
      <c r="P4" s="213" t="s">
        <v>185</v>
      </c>
      <c r="Q4" s="553"/>
      <c r="S4" s="20"/>
      <c r="T4" s="2"/>
    </row>
    <row r="5" spans="2:20" ht="16" thickBot="1">
      <c r="B5" s="32" t="s">
        <v>60</v>
      </c>
      <c r="C5" s="121" t="s">
        <v>57</v>
      </c>
      <c r="D5" s="548">
        <v>79.8</v>
      </c>
      <c r="E5" s="20">
        <v>384.20658682634729</v>
      </c>
      <c r="F5" s="20">
        <f>E5/D5</f>
        <v>4.8146188825356804</v>
      </c>
      <c r="G5" s="20">
        <v>88.605714766753664</v>
      </c>
      <c r="H5" s="296"/>
      <c r="K5" s="89" t="s">
        <v>61</v>
      </c>
      <c r="L5" s="133" t="s">
        <v>58</v>
      </c>
      <c r="M5" s="548">
        <v>74</v>
      </c>
      <c r="N5" s="20">
        <v>303.85375494071144</v>
      </c>
      <c r="O5" s="20">
        <f>N5/M5</f>
        <v>4.1061318235231274</v>
      </c>
      <c r="P5" s="20">
        <v>77.75291417108221</v>
      </c>
      <c r="Q5" s="296"/>
      <c r="S5" s="2"/>
      <c r="T5" s="2"/>
    </row>
    <row r="6" spans="2:20" ht="16" thickBot="1">
      <c r="B6" s="32" t="s">
        <v>60</v>
      </c>
      <c r="C6" s="122" t="s">
        <v>59</v>
      </c>
      <c r="D6" s="50">
        <v>72.099999999999994</v>
      </c>
      <c r="E6" s="2">
        <v>355.46875000000006</v>
      </c>
      <c r="F6" s="2">
        <f>E6/D6</f>
        <v>4.930218446601943</v>
      </c>
      <c r="G6" s="2">
        <v>88.650613311867517</v>
      </c>
      <c r="H6" s="8"/>
      <c r="K6" s="32" t="s">
        <v>61</v>
      </c>
      <c r="L6" s="133" t="s">
        <v>63</v>
      </c>
      <c r="M6" s="50">
        <v>74</v>
      </c>
      <c r="N6" s="2">
        <v>311.36363636363632</v>
      </c>
      <c r="O6" s="2">
        <f t="shared" ref="O6:O11" si="0">N6/M6</f>
        <v>4.2076167076167073</v>
      </c>
      <c r="P6" s="2">
        <v>86.043034541640822</v>
      </c>
      <c r="Q6" s="8"/>
      <c r="S6" s="2"/>
      <c r="T6" s="2"/>
    </row>
    <row r="7" spans="2:20" ht="16" thickBot="1">
      <c r="B7" s="32" t="s">
        <v>60</v>
      </c>
      <c r="C7" s="121" t="s">
        <v>62</v>
      </c>
      <c r="D7" s="519">
        <v>72.8</v>
      </c>
      <c r="E7" s="2">
        <v>281.89999999999998</v>
      </c>
      <c r="F7" s="2">
        <f t="shared" ref="F7:F13" si="1">E7/D7</f>
        <v>3.8722527472527473</v>
      </c>
      <c r="G7" s="2">
        <v>84.1</v>
      </c>
      <c r="H7" s="8"/>
      <c r="K7" s="32" t="s">
        <v>61</v>
      </c>
      <c r="L7" s="133" t="s">
        <v>65</v>
      </c>
      <c r="M7" s="50">
        <v>83.9</v>
      </c>
      <c r="N7" s="2">
        <v>425</v>
      </c>
      <c r="O7" s="2">
        <f t="shared" si="0"/>
        <v>5.0655542312276518</v>
      </c>
      <c r="P7" s="2">
        <v>76.2</v>
      </c>
      <c r="Q7" s="8"/>
      <c r="S7" s="2"/>
      <c r="T7" s="2"/>
    </row>
    <row r="8" spans="2:20" ht="16" thickBot="1">
      <c r="B8" s="32" t="s">
        <v>60</v>
      </c>
      <c r="C8" s="121" t="s">
        <v>64</v>
      </c>
      <c r="D8" s="50">
        <v>63.2</v>
      </c>
      <c r="E8" s="2">
        <v>249.71751412429379</v>
      </c>
      <c r="F8" s="2">
        <f t="shared" si="1"/>
        <v>3.9512264893084459</v>
      </c>
      <c r="G8" s="2">
        <v>81.880651952502532</v>
      </c>
      <c r="H8" s="8"/>
      <c r="K8" s="33" t="s">
        <v>61</v>
      </c>
      <c r="L8" s="133" t="s">
        <v>66</v>
      </c>
      <c r="M8" s="50">
        <v>85.8</v>
      </c>
      <c r="N8" s="2">
        <v>369.921875</v>
      </c>
      <c r="O8" s="2">
        <f t="shared" si="0"/>
        <v>4.3114437645687644</v>
      </c>
      <c r="P8" s="2">
        <v>78.422659581240779</v>
      </c>
      <c r="Q8" s="8"/>
      <c r="S8" s="2"/>
      <c r="T8" s="2"/>
    </row>
    <row r="9" spans="2:20" ht="16" thickBot="1">
      <c r="B9" s="33" t="s">
        <v>60</v>
      </c>
      <c r="C9" s="121" t="s">
        <v>67</v>
      </c>
      <c r="D9" s="50">
        <v>73.900000000000006</v>
      </c>
      <c r="E9" s="2">
        <v>347.24409448818892</v>
      </c>
      <c r="F9" s="2">
        <f t="shared" si="1"/>
        <v>4.6988375438185237</v>
      </c>
      <c r="G9" s="2">
        <v>91.109573324908439</v>
      </c>
      <c r="H9" s="8"/>
      <c r="K9" s="32" t="s">
        <v>61</v>
      </c>
      <c r="L9" s="133" t="s">
        <v>69</v>
      </c>
      <c r="M9" s="50">
        <v>71</v>
      </c>
      <c r="N9" s="2">
        <v>376.51734104046244</v>
      </c>
      <c r="O9" s="2">
        <f t="shared" si="0"/>
        <v>5.3030611414149638</v>
      </c>
      <c r="P9" s="2">
        <v>91.314512607736091</v>
      </c>
      <c r="Q9" s="8"/>
      <c r="S9" s="2"/>
      <c r="T9" s="2"/>
    </row>
    <row r="10" spans="2:20" ht="16" thickBot="1">
      <c r="B10" s="32" t="s">
        <v>60</v>
      </c>
      <c r="C10" s="121" t="s">
        <v>68</v>
      </c>
      <c r="D10" s="50">
        <v>76.099999999999994</v>
      </c>
      <c r="E10" s="2">
        <v>310.51020408163265</v>
      </c>
      <c r="F10" s="2">
        <f t="shared" si="1"/>
        <v>4.080291775054306</v>
      </c>
      <c r="G10" s="2">
        <v>84.803529490101184</v>
      </c>
      <c r="H10" s="8"/>
      <c r="K10" s="32" t="s">
        <v>61</v>
      </c>
      <c r="L10" s="133" t="s">
        <v>70</v>
      </c>
      <c r="M10" s="50">
        <v>61</v>
      </c>
      <c r="N10" s="2">
        <v>233.47457627118644</v>
      </c>
      <c r="O10" s="2">
        <f t="shared" si="0"/>
        <v>3.8274520700194499</v>
      </c>
      <c r="P10" s="2">
        <v>76.325343215096581</v>
      </c>
      <c r="Q10" s="8"/>
      <c r="S10" s="28"/>
      <c r="T10" s="28"/>
    </row>
    <row r="11" spans="2:20" ht="16" thickBot="1">
      <c r="B11" s="32" t="s">
        <v>60</v>
      </c>
      <c r="C11" s="121" t="s">
        <v>71</v>
      </c>
      <c r="D11" s="50">
        <v>78.099999999999994</v>
      </c>
      <c r="E11" s="2">
        <v>340.33149171270713</v>
      </c>
      <c r="F11" s="2">
        <f t="shared" si="1"/>
        <v>4.3576375379347905</v>
      </c>
      <c r="G11" s="2">
        <v>85.116843541926841</v>
      </c>
      <c r="H11" s="8"/>
      <c r="K11" s="53" t="s">
        <v>61</v>
      </c>
      <c r="L11" s="133" t="s">
        <v>74</v>
      </c>
      <c r="M11" s="58">
        <v>65.599999999999994</v>
      </c>
      <c r="N11" s="28">
        <v>273.05825242718447</v>
      </c>
      <c r="O11" s="28">
        <f t="shared" si="0"/>
        <v>4.1624733601704955</v>
      </c>
      <c r="P11" s="28">
        <v>78.021933420797467</v>
      </c>
      <c r="Q11" s="411"/>
    </row>
    <row r="12" spans="2:20" ht="16" thickBot="1">
      <c r="B12" s="32" t="s">
        <v>60</v>
      </c>
      <c r="C12" s="121" t="s">
        <v>72</v>
      </c>
      <c r="D12" s="50">
        <v>70.900000000000006</v>
      </c>
      <c r="E12" s="2">
        <v>317.55725190839695</v>
      </c>
      <c r="F12" s="2">
        <f t="shared" si="1"/>
        <v>4.4789457250831726</v>
      </c>
      <c r="G12" s="2">
        <v>87.488211031054249</v>
      </c>
      <c r="H12" s="8"/>
      <c r="L12" s="16" t="s">
        <v>76</v>
      </c>
      <c r="M12" s="179">
        <f>AVERAGE(M5:M11)</f>
        <v>73.614285714285714</v>
      </c>
      <c r="N12" s="179">
        <f t="shared" ref="N12:P12" si="2">AVERAGE(N5:N11)</f>
        <v>327.59849086331161</v>
      </c>
      <c r="O12" s="179">
        <f>AVERAGE(O5:O11)</f>
        <v>4.4262475855058803</v>
      </c>
      <c r="P12" s="179">
        <f t="shared" si="2"/>
        <v>80.582913933941995</v>
      </c>
      <c r="Q12" s="179" t="e">
        <f t="shared" ref="Q12" si="3">AVERAGE(Q3:Q11)</f>
        <v>#DIV/0!</v>
      </c>
    </row>
    <row r="13" spans="2:20" ht="16" thickBot="1">
      <c r="B13" s="53" t="s">
        <v>60</v>
      </c>
      <c r="C13" s="121" t="s">
        <v>73</v>
      </c>
      <c r="D13" s="58">
        <v>71.3</v>
      </c>
      <c r="E13" s="28">
        <v>300.11682242990651</v>
      </c>
      <c r="F13" s="28">
        <f t="shared" si="1"/>
        <v>4.2092120957911154</v>
      </c>
      <c r="G13" s="28">
        <v>78.4762005048715</v>
      </c>
      <c r="H13" s="297"/>
      <c r="L13" s="16" t="s">
        <v>13</v>
      </c>
      <c r="M13" s="179">
        <f>STDEVA(M5:M11)</f>
        <v>8.9885906517519594</v>
      </c>
      <c r="N13" s="179">
        <f t="shared" ref="N13:P13" si="4">STDEVA(N5:N11)</f>
        <v>66.247903892646121</v>
      </c>
      <c r="O13" s="179">
        <f>STDEVA(O5:O11)</f>
        <v>0.54300113406051354</v>
      </c>
      <c r="P13" s="179">
        <f t="shared" si="4"/>
        <v>5.7958489288910666</v>
      </c>
      <c r="Q13" s="179" t="e">
        <f t="shared" ref="Q13" si="5">STDEVA(Q3:Q11)</f>
        <v>#DIV/0!</v>
      </c>
    </row>
    <row r="14" spans="2:20">
      <c r="C14" s="16" t="s">
        <v>76</v>
      </c>
      <c r="D14" s="179">
        <f>AVERAGE(D5:D13)</f>
        <v>73.133333333333326</v>
      </c>
      <c r="E14" s="179">
        <f t="shared" ref="E14:G14" si="6">AVERAGE(E5:E13)</f>
        <v>320.78363506349706</v>
      </c>
      <c r="F14" s="179">
        <f>AVERAGE(F5:F13)</f>
        <v>4.3770268048200807</v>
      </c>
      <c r="G14" s="179">
        <f t="shared" si="6"/>
        <v>85.581259769331766</v>
      </c>
      <c r="H14" s="179" t="e">
        <f t="shared" ref="H14" si="7">AVERAGE(H5:H13)</f>
        <v>#DIV/0!</v>
      </c>
      <c r="L14" s="16" t="s">
        <v>14</v>
      </c>
      <c r="M14" s="179">
        <f>M13/SQRT(COUNT(M5:M11))</f>
        <v>3.3973679287850955</v>
      </c>
      <c r="N14" s="179">
        <f t="shared" ref="N14:P14" si="8">N13/SQRT(COUNT(N5:N11))</f>
        <v>25.039354082749924</v>
      </c>
      <c r="O14" s="179">
        <f>O13/SQRT(COUNT(O5:O11))</f>
        <v>0.20523513747859473</v>
      </c>
      <c r="P14" s="179">
        <f t="shared" si="8"/>
        <v>2.1906249860494058</v>
      </c>
      <c r="Q14" s="179" t="e">
        <f t="shared" ref="Q14" si="9">Q13/SQRT(COUNT(Q3:Q11))</f>
        <v>#DIV/0!</v>
      </c>
    </row>
    <row r="15" spans="2:20">
      <c r="C15" s="16" t="s">
        <v>13</v>
      </c>
      <c r="D15" s="179">
        <f>STDEVA(D5:D13)</f>
        <v>4.8308901871187233</v>
      </c>
      <c r="E15" s="179">
        <f t="shared" ref="E15:G15" si="10">STDEVA(E5:E13)</f>
        <v>40.946921921779087</v>
      </c>
      <c r="F15" s="179">
        <f>STDEVA(F5:F13)</f>
        <v>0.38146913260918047</v>
      </c>
      <c r="G15" s="179">
        <f t="shared" si="10"/>
        <v>3.8723057693880052</v>
      </c>
      <c r="H15" s="179" t="e">
        <f t="shared" ref="H15" si="11">STDEVA(H5:H13)</f>
        <v>#DIV/0!</v>
      </c>
    </row>
    <row r="16" spans="2:20">
      <c r="C16" s="16" t="s">
        <v>14</v>
      </c>
      <c r="D16" s="179">
        <f>D15/SQRT(COUNT(D5:D13))</f>
        <v>1.6102967290395744</v>
      </c>
      <c r="E16" s="179">
        <f t="shared" ref="E16:G16" si="12">E15/SQRT(COUNT(E5:E13))</f>
        <v>13.648973973926362</v>
      </c>
      <c r="F16" s="179">
        <f>F15/SQRT(COUNT(F5:F13))</f>
        <v>0.1271563775363935</v>
      </c>
      <c r="G16" s="179">
        <f t="shared" si="12"/>
        <v>1.2907685897960017</v>
      </c>
      <c r="H16" s="179" t="e">
        <f t="shared" ref="H16" si="13">H15/SQRT(COUNT(H5:H13))</f>
        <v>#DIV/0!</v>
      </c>
    </row>
    <row r="20" spans="2:17" ht="16" thickBot="1"/>
    <row r="21" spans="2:17" ht="16" thickBot="1">
      <c r="B21" s="1331" t="s">
        <v>50</v>
      </c>
      <c r="C21" s="1332"/>
      <c r="K21" s="1331" t="s">
        <v>50</v>
      </c>
      <c r="L21" s="1332"/>
    </row>
    <row r="22" spans="2:17">
      <c r="B22" s="1344" t="s">
        <v>77</v>
      </c>
      <c r="C22" s="1391"/>
      <c r="D22" s="549" t="s">
        <v>31</v>
      </c>
      <c r="E22" s="408" t="s">
        <v>183</v>
      </c>
      <c r="F22" s="408" t="s">
        <v>209</v>
      </c>
      <c r="G22" s="196" t="s">
        <v>186</v>
      </c>
      <c r="H22" s="526" t="s">
        <v>184</v>
      </c>
      <c r="K22" s="1344" t="s">
        <v>77</v>
      </c>
      <c r="L22" s="1391"/>
      <c r="M22" s="365" t="s">
        <v>31</v>
      </c>
      <c r="N22" s="408" t="s">
        <v>183</v>
      </c>
      <c r="O22" s="408" t="s">
        <v>209</v>
      </c>
      <c r="P22" s="196" t="s">
        <v>186</v>
      </c>
      <c r="Q22" s="367" t="s">
        <v>184</v>
      </c>
    </row>
    <row r="23" spans="2:17" ht="16" thickBot="1">
      <c r="B23" s="1336"/>
      <c r="C23" s="1392"/>
      <c r="D23" s="550" t="s">
        <v>2</v>
      </c>
      <c r="E23" s="520" t="s">
        <v>20</v>
      </c>
      <c r="F23" s="520" t="s">
        <v>21</v>
      </c>
      <c r="G23" s="407" t="s">
        <v>185</v>
      </c>
      <c r="H23" s="521"/>
      <c r="K23" s="1336"/>
      <c r="L23" s="1392"/>
      <c r="M23" s="552" t="s">
        <v>2</v>
      </c>
      <c r="N23" s="551" t="s">
        <v>20</v>
      </c>
      <c r="O23" s="551" t="s">
        <v>21</v>
      </c>
      <c r="P23" s="213" t="s">
        <v>185</v>
      </c>
      <c r="Q23" s="553"/>
    </row>
    <row r="24" spans="2:17" ht="16" thickBot="1">
      <c r="B24" s="32" t="s">
        <v>60</v>
      </c>
      <c r="C24" s="121" t="s">
        <v>57</v>
      </c>
      <c r="D24" s="50">
        <v>80.5</v>
      </c>
      <c r="E24" s="2">
        <v>377.11598746081501</v>
      </c>
      <c r="F24" s="2">
        <f>E24/D24</f>
        <v>4.684670651687143</v>
      </c>
      <c r="G24" s="20">
        <v>84.57184150307117</v>
      </c>
      <c r="H24" s="296"/>
      <c r="K24" s="89" t="s">
        <v>61</v>
      </c>
      <c r="L24" s="133" t="s">
        <v>58</v>
      </c>
      <c r="M24" s="548">
        <v>74.8</v>
      </c>
      <c r="N24" s="20">
        <v>291.61807580174928</v>
      </c>
      <c r="O24" s="20">
        <f>N24/M24</f>
        <v>3.8986373770287339</v>
      </c>
      <c r="P24" s="20">
        <v>77.693843603937594</v>
      </c>
      <c r="Q24" s="296"/>
    </row>
    <row r="25" spans="2:17" ht="16" thickBot="1">
      <c r="B25" s="32" t="s">
        <v>60</v>
      </c>
      <c r="C25" s="122" t="s">
        <v>59</v>
      </c>
      <c r="D25" s="50">
        <v>71.599999999999994</v>
      </c>
      <c r="E25" s="2">
        <v>313.25622775800713</v>
      </c>
      <c r="F25" s="2">
        <f t="shared" ref="F25:F32" si="14">E25/D25</f>
        <v>4.375086979860435</v>
      </c>
      <c r="G25" s="2">
        <v>84.446079391957099</v>
      </c>
      <c r="H25" s="8"/>
      <c r="K25" s="32" t="s">
        <v>61</v>
      </c>
      <c r="L25" s="133" t="s">
        <v>63</v>
      </c>
      <c r="M25" s="50">
        <v>74.2</v>
      </c>
      <c r="N25" s="2">
        <v>293.05555555555554</v>
      </c>
      <c r="O25" s="2">
        <f t="shared" ref="O25:O30" si="15">N25/M25</f>
        <v>3.9495357891584302</v>
      </c>
      <c r="P25" s="2">
        <v>80.679965102673179</v>
      </c>
      <c r="Q25" s="8"/>
    </row>
    <row r="26" spans="2:17" ht="16" thickBot="1">
      <c r="B26" s="32" t="s">
        <v>60</v>
      </c>
      <c r="C26" s="121" t="s">
        <v>62</v>
      </c>
      <c r="D26" s="50">
        <v>74.3</v>
      </c>
      <c r="E26" s="2">
        <v>283.33333333333331</v>
      </c>
      <c r="F26" s="2">
        <f t="shared" si="14"/>
        <v>3.813369223867205</v>
      </c>
      <c r="G26" s="2">
        <v>81.244523477672047</v>
      </c>
      <c r="H26" s="8"/>
      <c r="K26" s="32" t="s">
        <v>61</v>
      </c>
      <c r="L26" s="133" t="s">
        <v>65</v>
      </c>
      <c r="M26" s="50">
        <v>85.9</v>
      </c>
      <c r="N26" s="2">
        <v>401.0204081632653</v>
      </c>
      <c r="O26" s="2">
        <f t="shared" si="15"/>
        <v>4.6684564396189208</v>
      </c>
      <c r="P26" s="2">
        <v>86.976135978920169</v>
      </c>
      <c r="Q26" s="8"/>
    </row>
    <row r="27" spans="2:17" ht="16" thickBot="1">
      <c r="B27" s="32" t="s">
        <v>60</v>
      </c>
      <c r="C27" s="121" t="s">
        <v>64</v>
      </c>
      <c r="D27" s="50">
        <v>64.2</v>
      </c>
      <c r="E27" s="2">
        <v>236.09693877551024</v>
      </c>
      <c r="F27" s="2">
        <f t="shared" si="14"/>
        <v>3.6775224108334927</v>
      </c>
      <c r="G27" s="2">
        <v>80.021373656017332</v>
      </c>
      <c r="H27" s="8"/>
      <c r="K27" s="33" t="s">
        <v>61</v>
      </c>
      <c r="L27" s="133" t="s">
        <v>66</v>
      </c>
      <c r="M27" s="50">
        <v>86.4</v>
      </c>
      <c r="N27" s="2">
        <v>375.38610038610034</v>
      </c>
      <c r="O27" s="2">
        <f t="shared" si="15"/>
        <v>4.3447465322465311</v>
      </c>
      <c r="P27" s="2">
        <v>91.904545015682501</v>
      </c>
      <c r="Q27" s="8"/>
    </row>
    <row r="28" spans="2:17" ht="16" thickBot="1">
      <c r="B28" s="33" t="s">
        <v>60</v>
      </c>
      <c r="C28" s="121" t="s">
        <v>67</v>
      </c>
      <c r="D28" s="50">
        <v>74.099999999999994</v>
      </c>
      <c r="E28" s="2">
        <v>329.03508771929825</v>
      </c>
      <c r="F28" s="2">
        <f>E28/D28</f>
        <v>4.4404195373724464</v>
      </c>
      <c r="G28" s="2">
        <v>84.652734577602189</v>
      </c>
      <c r="H28" s="8"/>
      <c r="K28" s="32" t="s">
        <v>61</v>
      </c>
      <c r="L28" s="133" t="s">
        <v>69</v>
      </c>
      <c r="M28" s="50">
        <v>70.5</v>
      </c>
      <c r="N28" s="2">
        <v>350.21739130434787</v>
      </c>
      <c r="O28" s="2">
        <f t="shared" si="15"/>
        <v>4.9676225716928775</v>
      </c>
      <c r="P28" s="2">
        <v>81.945404604033513</v>
      </c>
      <c r="Q28" s="8"/>
    </row>
    <row r="29" spans="2:17" ht="16" thickBot="1">
      <c r="B29" s="32" t="s">
        <v>60</v>
      </c>
      <c r="C29" s="121" t="s">
        <v>68</v>
      </c>
      <c r="D29" s="50">
        <v>76.599999999999994</v>
      </c>
      <c r="E29" s="2">
        <v>326.66051660516609</v>
      </c>
      <c r="F29" s="2">
        <f t="shared" si="14"/>
        <v>4.2644976058115684</v>
      </c>
      <c r="G29" s="2">
        <v>90.545975796948468</v>
      </c>
      <c r="H29" s="8"/>
      <c r="K29" s="32" t="s">
        <v>61</v>
      </c>
      <c r="L29" s="133" t="s">
        <v>70</v>
      </c>
      <c r="M29" s="50">
        <v>61.9</v>
      </c>
      <c r="N29" s="2">
        <v>238.95348837209303</v>
      </c>
      <c r="O29" s="2">
        <f t="shared" si="15"/>
        <v>3.8603148363827633</v>
      </c>
      <c r="P29" s="2">
        <v>71.760593535369537</v>
      </c>
      <c r="Q29" s="8"/>
    </row>
    <row r="30" spans="2:17" ht="16" thickBot="1">
      <c r="B30" s="32" t="s">
        <v>60</v>
      </c>
      <c r="C30" s="121" t="s">
        <v>71</v>
      </c>
      <c r="D30" s="50">
        <v>79</v>
      </c>
      <c r="E30" s="2">
        <v>331.49779735682819</v>
      </c>
      <c r="F30" s="2">
        <f t="shared" si="14"/>
        <v>4.1961746500864328</v>
      </c>
      <c r="G30" s="2">
        <v>80.02177532158214</v>
      </c>
      <c r="H30" s="8"/>
      <c r="K30" s="53" t="s">
        <v>61</v>
      </c>
      <c r="L30" s="133" t="s">
        <v>74</v>
      </c>
      <c r="M30" s="58">
        <v>65.5</v>
      </c>
      <c r="N30" s="28">
        <v>258.13253012048193</v>
      </c>
      <c r="O30" s="28">
        <f t="shared" si="15"/>
        <v>3.9409546583279682</v>
      </c>
      <c r="P30" s="28">
        <v>79.977262650793463</v>
      </c>
      <c r="Q30" s="297"/>
    </row>
    <row r="31" spans="2:17" ht="16" thickBot="1">
      <c r="B31" s="32" t="s">
        <v>60</v>
      </c>
      <c r="C31" s="121" t="s">
        <v>72</v>
      </c>
      <c r="D31" s="50">
        <v>72</v>
      </c>
      <c r="E31" s="2">
        <v>312.82608695652175</v>
      </c>
      <c r="F31" s="2">
        <f t="shared" si="14"/>
        <v>4.3448067632850247</v>
      </c>
      <c r="G31" s="2">
        <v>82.53688732691117</v>
      </c>
      <c r="H31" s="8"/>
      <c r="L31" s="16" t="s">
        <v>76</v>
      </c>
      <c r="M31" s="179">
        <f>AVERAGE(M24:M30)</f>
        <v>74.171428571428578</v>
      </c>
      <c r="N31" s="179">
        <f t="shared" ref="N31:P31" si="16">AVERAGE(N24:N30)</f>
        <v>315.48336424337049</v>
      </c>
      <c r="O31" s="179">
        <f>AVERAGE(O24:O30)</f>
        <v>4.2328954577794606</v>
      </c>
      <c r="P31" s="179">
        <f t="shared" si="16"/>
        <v>81.562535784487139</v>
      </c>
      <c r="Q31" s="179" t="e">
        <f t="shared" ref="Q31" si="17">AVERAGE(Q22:Q30)</f>
        <v>#DIV/0!</v>
      </c>
    </row>
    <row r="32" spans="2:17" ht="16" thickBot="1">
      <c r="B32" s="53" t="s">
        <v>60</v>
      </c>
      <c r="C32" s="121" t="s">
        <v>73</v>
      </c>
      <c r="D32" s="41">
        <v>70.8</v>
      </c>
      <c r="E32" s="28">
        <v>259.74025974025972</v>
      </c>
      <c r="F32" s="28">
        <f t="shared" si="14"/>
        <v>3.6686477364443464</v>
      </c>
      <c r="G32" s="28">
        <v>66.862337754661709</v>
      </c>
      <c r="H32" s="297"/>
      <c r="L32" s="16" t="s">
        <v>13</v>
      </c>
      <c r="M32" s="179">
        <f>STDEVA(M24:M30)</f>
        <v>9.3697588524134705</v>
      </c>
      <c r="N32" s="179">
        <f t="shared" ref="N32:P32" si="18">STDEVA(N24:N30)</f>
        <v>61.00529346733704</v>
      </c>
      <c r="O32" s="179">
        <f>STDEVA(O24:O30)</f>
        <v>0.43933944353101223</v>
      </c>
      <c r="P32" s="179">
        <f t="shared" si="18"/>
        <v>6.4646175898239413</v>
      </c>
      <c r="Q32" s="179" t="e">
        <f t="shared" ref="Q32" si="19">STDEVA(Q22:Q30)</f>
        <v>#DIV/0!</v>
      </c>
    </row>
    <row r="33" spans="2:34">
      <c r="C33" s="16" t="s">
        <v>76</v>
      </c>
      <c r="D33" s="179">
        <f>AVERAGE(D24:D32)</f>
        <v>73.677777777777763</v>
      </c>
      <c r="E33" s="179">
        <f t="shared" ref="E33:G33" si="20">AVERAGE(E24:E32)</f>
        <v>307.72913730063777</v>
      </c>
      <c r="F33" s="179">
        <f>AVERAGE(F24:F32)</f>
        <v>4.1627995065831218</v>
      </c>
      <c r="G33" s="179">
        <f t="shared" si="20"/>
        <v>81.655947645158136</v>
      </c>
      <c r="H33" s="179"/>
      <c r="L33" s="16" t="s">
        <v>14</v>
      </c>
      <c r="M33" s="179">
        <f>M32/SQRT(COUNT(M24:M30))</f>
        <v>3.5414359668759987</v>
      </c>
      <c r="N33" s="179">
        <f t="shared" ref="N33:P33" si="21">N32/SQRT(COUNT(N24:N30))</f>
        <v>23.057833596155294</v>
      </c>
      <c r="O33" s="179">
        <f>O32/SQRT(COUNT(O24:O30))</f>
        <v>0.16605470124636618</v>
      </c>
      <c r="P33" s="179">
        <f t="shared" si="21"/>
        <v>2.4433957805439865</v>
      </c>
      <c r="Q33" s="179" t="e">
        <f t="shared" ref="Q33" si="22">Q32/SQRT(COUNT(Q22:Q30))</f>
        <v>#DIV/0!</v>
      </c>
    </row>
    <row r="34" spans="2:34">
      <c r="C34" s="16" t="s">
        <v>13</v>
      </c>
      <c r="D34" s="179">
        <f>STDEVA(D24:D32)</f>
        <v>4.863326479318907</v>
      </c>
      <c r="E34" s="179">
        <f t="shared" ref="E34:G34" si="23">STDEVA(E24:E32)</f>
        <v>42.245727494933703</v>
      </c>
      <c r="F34" s="179">
        <f>STDEVA(F24:F32)</f>
        <v>0.36070291516187825</v>
      </c>
      <c r="G34" s="179">
        <f t="shared" si="23"/>
        <v>6.4171564388266278</v>
      </c>
      <c r="H34" s="179"/>
      <c r="L34" s="16" t="s">
        <v>99</v>
      </c>
      <c r="O34" s="821">
        <f>(O31-O12)/O13</f>
        <v>-0.35608052285369984</v>
      </c>
    </row>
    <row r="35" spans="2:34">
      <c r="C35" s="16" t="s">
        <v>14</v>
      </c>
      <c r="D35" s="179">
        <f>D34/SQRT(COUNT(D24:D32))</f>
        <v>1.6211088264396356</v>
      </c>
      <c r="E35" s="179">
        <f t="shared" ref="E35:G35" si="24">E34/SQRT(COUNT(E24:E32))</f>
        <v>14.081909164977901</v>
      </c>
      <c r="F35" s="179">
        <f t="shared" si="24"/>
        <v>0.12023430505395942</v>
      </c>
      <c r="G35" s="179">
        <f t="shared" si="24"/>
        <v>2.1390521462755427</v>
      </c>
      <c r="H35" s="179"/>
    </row>
    <row r="36" spans="2:34">
      <c r="C36" s="16" t="s">
        <v>99</v>
      </c>
      <c r="F36" s="821">
        <f>(F33-F14)/F15</f>
        <v>-0.56158488308525134</v>
      </c>
    </row>
    <row r="38" spans="2:34" ht="16" thickBot="1"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</row>
    <row r="40" spans="2:34" ht="16" thickBot="1">
      <c r="J40" s="7"/>
    </row>
    <row r="41" spans="2:34" ht="16" thickBot="1">
      <c r="B41" s="1395" t="s">
        <v>170</v>
      </c>
      <c r="C41" s="1396"/>
      <c r="D41" s="313"/>
      <c r="E41" s="313"/>
      <c r="F41" s="313"/>
      <c r="G41" s="313"/>
      <c r="H41" s="313"/>
      <c r="I41" s="313"/>
      <c r="J41" s="313"/>
      <c r="K41" s="1395" t="s">
        <v>170</v>
      </c>
      <c r="L41" s="1396"/>
      <c r="M41" s="313"/>
      <c r="N41" s="313"/>
      <c r="O41" s="313"/>
      <c r="P41" s="313"/>
      <c r="Q41" s="313"/>
      <c r="S41" s="1393" t="s">
        <v>177</v>
      </c>
      <c r="T41" s="1394"/>
      <c r="U41" s="554"/>
      <c r="V41" s="554"/>
      <c r="W41" s="554"/>
      <c r="X41" s="554"/>
      <c r="Y41" s="554"/>
      <c r="Z41" s="554"/>
      <c r="AA41" s="554"/>
      <c r="AB41" s="1393" t="s">
        <v>177</v>
      </c>
      <c r="AC41" s="1394"/>
      <c r="AD41" s="554"/>
      <c r="AE41" s="554"/>
      <c r="AF41" s="554"/>
      <c r="AG41" s="554"/>
      <c r="AH41" s="554"/>
    </row>
    <row r="42" spans="2:34">
      <c r="B42" s="1381" t="s">
        <v>77</v>
      </c>
      <c r="C42" s="1382"/>
      <c r="D42" s="363" t="s">
        <v>31</v>
      </c>
      <c r="E42" s="412" t="s">
        <v>183</v>
      </c>
      <c r="F42" s="412" t="s">
        <v>209</v>
      </c>
      <c r="G42" s="396" t="s">
        <v>186</v>
      </c>
      <c r="H42" s="413" t="s">
        <v>184</v>
      </c>
      <c r="I42" s="313"/>
      <c r="J42" s="313"/>
      <c r="K42" s="1381" t="s">
        <v>77</v>
      </c>
      <c r="L42" s="1382"/>
      <c r="M42" s="363" t="s">
        <v>31</v>
      </c>
      <c r="N42" s="412" t="s">
        <v>183</v>
      </c>
      <c r="O42" s="412" t="s">
        <v>209</v>
      </c>
      <c r="P42" s="396" t="s">
        <v>186</v>
      </c>
      <c r="Q42" s="413" t="s">
        <v>184</v>
      </c>
      <c r="S42" s="1385" t="s">
        <v>77</v>
      </c>
      <c r="T42" s="1386"/>
      <c r="U42" s="556" t="s">
        <v>31</v>
      </c>
      <c r="V42" s="557" t="s">
        <v>183</v>
      </c>
      <c r="W42" s="557" t="s">
        <v>209</v>
      </c>
      <c r="X42" s="558" t="s">
        <v>186</v>
      </c>
      <c r="Y42" s="559" t="s">
        <v>184</v>
      </c>
      <c r="Z42" s="554"/>
      <c r="AA42" s="554"/>
      <c r="AB42" s="1385" t="s">
        <v>77</v>
      </c>
      <c r="AC42" s="1386"/>
      <c r="AD42" s="556" t="s">
        <v>31</v>
      </c>
      <c r="AE42" s="557" t="s">
        <v>183</v>
      </c>
      <c r="AF42" s="557" t="s">
        <v>209</v>
      </c>
      <c r="AG42" s="558" t="s">
        <v>186</v>
      </c>
      <c r="AH42" s="559" t="s">
        <v>184</v>
      </c>
    </row>
    <row r="43" spans="2:34" ht="16" thickBot="1">
      <c r="B43" s="1383"/>
      <c r="C43" s="1384"/>
      <c r="D43" s="364" t="s">
        <v>2</v>
      </c>
      <c r="E43" s="414" t="s">
        <v>20</v>
      </c>
      <c r="F43" s="414" t="s">
        <v>21</v>
      </c>
      <c r="G43" s="398" t="s">
        <v>185</v>
      </c>
      <c r="H43" s="399"/>
      <c r="I43" s="313"/>
      <c r="J43" s="313"/>
      <c r="K43" s="1383"/>
      <c r="L43" s="1384"/>
      <c r="M43" s="416" t="s">
        <v>2</v>
      </c>
      <c r="N43" s="417" t="s">
        <v>20</v>
      </c>
      <c r="O43" s="417" t="s">
        <v>21</v>
      </c>
      <c r="P43" s="418" t="s">
        <v>185</v>
      </c>
      <c r="Q43" s="419"/>
      <c r="S43" s="1387"/>
      <c r="T43" s="1388"/>
      <c r="U43" s="561" t="s">
        <v>2</v>
      </c>
      <c r="V43" s="562" t="s">
        <v>20</v>
      </c>
      <c r="W43" s="562" t="s">
        <v>21</v>
      </c>
      <c r="X43" s="563" t="s">
        <v>185</v>
      </c>
      <c r="Y43" s="560"/>
      <c r="Z43" s="554"/>
      <c r="AA43" s="554"/>
      <c r="AB43" s="1387"/>
      <c r="AC43" s="1388"/>
      <c r="AD43" s="561" t="s">
        <v>2</v>
      </c>
      <c r="AE43" s="562" t="s">
        <v>20</v>
      </c>
      <c r="AF43" s="562" t="s">
        <v>21</v>
      </c>
      <c r="AG43" s="563" t="s">
        <v>185</v>
      </c>
      <c r="AH43" s="564"/>
    </row>
    <row r="44" spans="2:34" ht="16" thickBot="1">
      <c r="B44" s="322" t="s">
        <v>60</v>
      </c>
      <c r="C44" s="323" t="s">
        <v>57</v>
      </c>
      <c r="D44" s="602">
        <f>D24-D5</f>
        <v>0.70000000000000284</v>
      </c>
      <c r="E44" s="603">
        <f t="shared" ref="E44:G44" si="25">E24-E5</f>
        <v>-7.0905993655322845</v>
      </c>
      <c r="F44" s="603">
        <f>F24-F5</f>
        <v>-0.12994823084853735</v>
      </c>
      <c r="G44" s="603">
        <f t="shared" si="25"/>
        <v>-4.0338732636824943</v>
      </c>
      <c r="H44" s="612"/>
      <c r="I44" s="313"/>
      <c r="J44" s="313"/>
      <c r="K44" s="343" t="s">
        <v>61</v>
      </c>
      <c r="L44" s="328" t="s">
        <v>58</v>
      </c>
      <c r="M44" s="759">
        <f>M24-M5</f>
        <v>0.79999999999999716</v>
      </c>
      <c r="N44" s="760">
        <f t="shared" ref="N44:P44" si="26">N24-N5</f>
        <v>-12.235679138962155</v>
      </c>
      <c r="O44" s="760">
        <f>O24-O5</f>
        <v>-0.20749444649439353</v>
      </c>
      <c r="P44" s="760">
        <f t="shared" si="26"/>
        <v>-5.9070567144615893E-2</v>
      </c>
      <c r="Q44" s="604"/>
      <c r="S44" s="589" t="s">
        <v>60</v>
      </c>
      <c r="T44" s="590" t="s">
        <v>57</v>
      </c>
      <c r="U44" s="576">
        <f t="shared" ref="U44:U52" si="27">(D24-D5)/D5*100</f>
        <v>0.87719298245614397</v>
      </c>
      <c r="V44" s="577">
        <f t="shared" ref="V44:V52" si="28">(E24-E5)/E5*100</f>
        <v>-1.8455173879507367</v>
      </c>
      <c r="W44" s="577">
        <f t="shared" ref="W44:W52" si="29">(F24-F5)/F5*100</f>
        <v>-2.6990346280555118</v>
      </c>
      <c r="X44" s="578">
        <f t="shared" ref="X44:X52" si="30">(G24-G5)/G5*100</f>
        <v>-4.5526107139943424</v>
      </c>
      <c r="Y44" s="585"/>
      <c r="Z44" s="591"/>
      <c r="AA44" s="591"/>
      <c r="AB44" s="592" t="s">
        <v>61</v>
      </c>
      <c r="AC44" s="590" t="s">
        <v>58</v>
      </c>
      <c r="AD44" s="576">
        <f t="shared" ref="AD44:AG50" si="31">(M24-M5)/M5*100</f>
        <v>1.0810810810810774</v>
      </c>
      <c r="AE44" s="577">
        <f t="shared" si="31"/>
        <v>-4.0268316385787646</v>
      </c>
      <c r="AF44" s="577">
        <f t="shared" si="31"/>
        <v>-5.0532826370966326</v>
      </c>
      <c r="AG44" s="578">
        <f t="shared" si="31"/>
        <v>-7.5972158438513376E-2</v>
      </c>
      <c r="AH44" s="578"/>
    </row>
    <row r="45" spans="2:34" ht="16" thickBot="1">
      <c r="B45" s="322" t="s">
        <v>60</v>
      </c>
      <c r="C45" s="329" t="s">
        <v>59</v>
      </c>
      <c r="D45" s="605">
        <f>D25-D6</f>
        <v>-0.5</v>
      </c>
      <c r="E45" s="606">
        <f t="shared" ref="E45:G45" si="32">E25-E6</f>
        <v>-42.212522241992929</v>
      </c>
      <c r="F45" s="606">
        <f t="shared" si="32"/>
        <v>-0.55513146674150793</v>
      </c>
      <c r="G45" s="606">
        <f t="shared" si="32"/>
        <v>-4.2045339199104177</v>
      </c>
      <c r="H45" s="613"/>
      <c r="I45" s="313"/>
      <c r="J45" s="313"/>
      <c r="K45" s="322" t="s">
        <v>61</v>
      </c>
      <c r="L45" s="328" t="s">
        <v>63</v>
      </c>
      <c r="M45" s="761">
        <f>M25-M6</f>
        <v>0.20000000000000284</v>
      </c>
      <c r="N45" s="762">
        <f t="shared" ref="N45:P45" si="33">N25-N6</f>
        <v>-18.308080808080774</v>
      </c>
      <c r="O45" s="762">
        <f t="shared" si="33"/>
        <v>-0.25808091845827708</v>
      </c>
      <c r="P45" s="762">
        <f t="shared" si="33"/>
        <v>-5.3630694389676421</v>
      </c>
      <c r="Q45" s="607"/>
      <c r="S45" s="589" t="s">
        <v>60</v>
      </c>
      <c r="T45" s="594" t="s">
        <v>59</v>
      </c>
      <c r="U45" s="579">
        <f t="shared" si="27"/>
        <v>-0.69348127600554788</v>
      </c>
      <c r="V45" s="580">
        <f t="shared" si="28"/>
        <v>-11.875171092252954</v>
      </c>
      <c r="W45" s="580">
        <f t="shared" si="29"/>
        <v>-11.259774242338521</v>
      </c>
      <c r="X45" s="581">
        <f t="shared" si="30"/>
        <v>-4.7428142489202196</v>
      </c>
      <c r="Y45" s="586"/>
      <c r="Z45" s="591"/>
      <c r="AA45" s="591"/>
      <c r="AB45" s="589" t="s">
        <v>61</v>
      </c>
      <c r="AC45" s="590" t="s">
        <v>63</v>
      </c>
      <c r="AD45" s="579">
        <f t="shared" si="31"/>
        <v>0.27027027027027412</v>
      </c>
      <c r="AE45" s="580">
        <f t="shared" si="31"/>
        <v>-5.8799675587996658</v>
      </c>
      <c r="AF45" s="580">
        <f t="shared" si="31"/>
        <v>-6.133660368614235</v>
      </c>
      <c r="AG45" s="581">
        <f t="shared" si="31"/>
        <v>-6.2330082470210488</v>
      </c>
      <c r="AH45" s="581"/>
    </row>
    <row r="46" spans="2:34" ht="16" thickBot="1">
      <c r="B46" s="322" t="s">
        <v>60</v>
      </c>
      <c r="C46" s="323" t="s">
        <v>62</v>
      </c>
      <c r="D46" s="605">
        <f t="shared" ref="D46:G52" si="34">D26-D7</f>
        <v>1.5</v>
      </c>
      <c r="E46" s="606">
        <f t="shared" si="34"/>
        <v>1.4333333333333371</v>
      </c>
      <c r="F46" s="606">
        <f t="shared" si="34"/>
        <v>-5.8883523385542258E-2</v>
      </c>
      <c r="G46" s="606">
        <f t="shared" si="34"/>
        <v>-2.8554765223279475</v>
      </c>
      <c r="H46" s="613"/>
      <c r="I46" s="313"/>
      <c r="J46" s="313"/>
      <c r="K46" s="322" t="s">
        <v>61</v>
      </c>
      <c r="L46" s="328" t="s">
        <v>65</v>
      </c>
      <c r="M46" s="761">
        <f t="shared" ref="M46:P50" si="35">M26-M7</f>
        <v>2</v>
      </c>
      <c r="N46" s="762">
        <f t="shared" si="35"/>
        <v>-23.979591836734699</v>
      </c>
      <c r="O46" s="762">
        <f t="shared" si="35"/>
        <v>-0.39709779160873104</v>
      </c>
      <c r="P46" s="762">
        <f t="shared" si="35"/>
        <v>10.776135978920166</v>
      </c>
      <c r="Q46" s="607"/>
      <c r="S46" s="589" t="s">
        <v>60</v>
      </c>
      <c r="T46" s="590" t="s">
        <v>62</v>
      </c>
      <c r="U46" s="579">
        <f t="shared" si="27"/>
        <v>2.0604395604395602</v>
      </c>
      <c r="V46" s="580">
        <f t="shared" si="28"/>
        <v>0.50845453470497959</v>
      </c>
      <c r="W46" s="580">
        <f t="shared" si="29"/>
        <v>-1.5206528919714353</v>
      </c>
      <c r="X46" s="581">
        <f t="shared" si="30"/>
        <v>-3.395334747120033</v>
      </c>
      <c r="Y46" s="586"/>
      <c r="Z46" s="591"/>
      <c r="AA46" s="591"/>
      <c r="AB46" s="589" t="s">
        <v>61</v>
      </c>
      <c r="AC46" s="590" t="s">
        <v>65</v>
      </c>
      <c r="AD46" s="579">
        <f t="shared" si="31"/>
        <v>2.3837902264600714</v>
      </c>
      <c r="AE46" s="580">
        <f t="shared" si="31"/>
        <v>-5.6422569027611056</v>
      </c>
      <c r="AF46" s="580">
        <f t="shared" si="31"/>
        <v>-7.8391775802288315</v>
      </c>
      <c r="AG46" s="581">
        <f t="shared" si="31"/>
        <v>14.141910733491031</v>
      </c>
      <c r="AH46" s="581"/>
    </row>
    <row r="47" spans="2:34" ht="16" thickBot="1">
      <c r="B47" s="322" t="s">
        <v>60</v>
      </c>
      <c r="C47" s="323" t="s">
        <v>64</v>
      </c>
      <c r="D47" s="605">
        <f t="shared" si="34"/>
        <v>1</v>
      </c>
      <c r="E47" s="606">
        <f t="shared" si="34"/>
        <v>-13.620575348783547</v>
      </c>
      <c r="F47" s="606">
        <f t="shared" si="34"/>
        <v>-0.27370407847495315</v>
      </c>
      <c r="G47" s="606">
        <f t="shared" si="34"/>
        <v>-1.8592782964852006</v>
      </c>
      <c r="H47" s="613"/>
      <c r="I47" s="313"/>
      <c r="J47" s="313"/>
      <c r="K47" s="332" t="s">
        <v>61</v>
      </c>
      <c r="L47" s="328" t="s">
        <v>66</v>
      </c>
      <c r="M47" s="761">
        <f t="shared" si="35"/>
        <v>0.60000000000000853</v>
      </c>
      <c r="N47" s="762">
        <f t="shared" si="35"/>
        <v>5.4642253861003383</v>
      </c>
      <c r="O47" s="762">
        <f t="shared" si="35"/>
        <v>3.3302767677766631E-2</v>
      </c>
      <c r="P47" s="762">
        <f t="shared" si="35"/>
        <v>13.481885434441722</v>
      </c>
      <c r="Q47" s="607"/>
      <c r="S47" s="589" t="s">
        <v>60</v>
      </c>
      <c r="T47" s="590" t="s">
        <v>64</v>
      </c>
      <c r="U47" s="579">
        <f t="shared" si="27"/>
        <v>1.582278481012658</v>
      </c>
      <c r="V47" s="580">
        <f t="shared" si="28"/>
        <v>-5.4543932957798367</v>
      </c>
      <c r="W47" s="580">
        <f t="shared" si="29"/>
        <v>-6.9270662974032033</v>
      </c>
      <c r="X47" s="581">
        <f t="shared" si="30"/>
        <v>-2.2707175042569689</v>
      </c>
      <c r="Y47" s="586"/>
      <c r="Z47" s="591"/>
      <c r="AA47" s="591"/>
      <c r="AB47" s="595" t="s">
        <v>61</v>
      </c>
      <c r="AC47" s="590" t="s">
        <v>66</v>
      </c>
      <c r="AD47" s="579">
        <f t="shared" si="31"/>
        <v>0.69930069930070926</v>
      </c>
      <c r="AE47" s="580">
        <f t="shared" si="31"/>
        <v>1.4771295658307144</v>
      </c>
      <c r="AF47" s="580">
        <f t="shared" si="31"/>
        <v>0.77242727717910087</v>
      </c>
      <c r="AG47" s="581">
        <f t="shared" si="31"/>
        <v>17.191313717785057</v>
      </c>
      <c r="AH47" s="581"/>
    </row>
    <row r="48" spans="2:34" ht="16" thickBot="1">
      <c r="B48" s="332" t="s">
        <v>60</v>
      </c>
      <c r="C48" s="323" t="s">
        <v>67</v>
      </c>
      <c r="D48" s="605">
        <f t="shared" si="34"/>
        <v>0.19999999999998863</v>
      </c>
      <c r="E48" s="606">
        <f t="shared" si="34"/>
        <v>-18.209006768890674</v>
      </c>
      <c r="F48" s="606">
        <f t="shared" si="34"/>
        <v>-0.25841800644607726</v>
      </c>
      <c r="G48" s="606">
        <f t="shared" si="34"/>
        <v>-6.4568387473062501</v>
      </c>
      <c r="H48" s="613"/>
      <c r="I48" s="313"/>
      <c r="J48" s="313"/>
      <c r="K48" s="322" t="s">
        <v>61</v>
      </c>
      <c r="L48" s="328" t="s">
        <v>69</v>
      </c>
      <c r="M48" s="761">
        <f t="shared" si="35"/>
        <v>-0.5</v>
      </c>
      <c r="N48" s="762">
        <f t="shared" si="35"/>
        <v>-26.29994973611457</v>
      </c>
      <c r="O48" s="762">
        <f t="shared" si="35"/>
        <v>-0.3354385697220863</v>
      </c>
      <c r="P48" s="762">
        <f t="shared" si="35"/>
        <v>-9.3691080037025785</v>
      </c>
      <c r="Q48" s="607"/>
      <c r="S48" s="595" t="s">
        <v>60</v>
      </c>
      <c r="T48" s="590" t="s">
        <v>67</v>
      </c>
      <c r="U48" s="579">
        <f t="shared" si="27"/>
        <v>0.27063599458726467</v>
      </c>
      <c r="V48" s="580">
        <f t="shared" si="28"/>
        <v>-5.2438636273222583</v>
      </c>
      <c r="W48" s="580">
        <f t="shared" si="29"/>
        <v>-5.4996156823092281</v>
      </c>
      <c r="X48" s="581">
        <f t="shared" si="30"/>
        <v>-7.0868938484437125</v>
      </c>
      <c r="Y48" s="586"/>
      <c r="Z48" s="591"/>
      <c r="AA48" s="591"/>
      <c r="AB48" s="589" t="s">
        <v>61</v>
      </c>
      <c r="AC48" s="590" t="s">
        <v>69</v>
      </c>
      <c r="AD48" s="579">
        <f t="shared" si="31"/>
        <v>-0.70422535211267612</v>
      </c>
      <c r="AE48" s="580">
        <f t="shared" si="31"/>
        <v>-6.9850566944506935</v>
      </c>
      <c r="AF48" s="580">
        <f t="shared" si="31"/>
        <v>-6.3253762454751659</v>
      </c>
      <c r="AG48" s="581">
        <f t="shared" si="31"/>
        <v>-10.260261743880605</v>
      </c>
      <c r="AH48" s="581"/>
    </row>
    <row r="49" spans="2:34" ht="16" thickBot="1">
      <c r="B49" s="322" t="s">
        <v>60</v>
      </c>
      <c r="C49" s="323" t="s">
        <v>68</v>
      </c>
      <c r="D49" s="605">
        <f t="shared" si="34"/>
        <v>0.5</v>
      </c>
      <c r="E49" s="606">
        <f t="shared" si="34"/>
        <v>16.150312523533444</v>
      </c>
      <c r="F49" s="606">
        <f t="shared" si="34"/>
        <v>0.18420583075726249</v>
      </c>
      <c r="G49" s="606">
        <f t="shared" si="34"/>
        <v>5.7424463068472846</v>
      </c>
      <c r="H49" s="613"/>
      <c r="I49" s="313"/>
      <c r="J49" s="313"/>
      <c r="K49" s="322" t="s">
        <v>61</v>
      </c>
      <c r="L49" s="328" t="s">
        <v>70</v>
      </c>
      <c r="M49" s="761">
        <f t="shared" si="35"/>
        <v>0.89999999999999858</v>
      </c>
      <c r="N49" s="762">
        <f t="shared" si="35"/>
        <v>5.478912100906598</v>
      </c>
      <c r="O49" s="762">
        <f t="shared" si="35"/>
        <v>3.2862766363313423E-2</v>
      </c>
      <c r="P49" s="762">
        <f t="shared" si="35"/>
        <v>-4.5647496797270435</v>
      </c>
      <c r="Q49" s="607"/>
      <c r="S49" s="589" t="s">
        <v>60</v>
      </c>
      <c r="T49" s="590" t="s">
        <v>68</v>
      </c>
      <c r="U49" s="579">
        <f t="shared" si="27"/>
        <v>0.65703022339027606</v>
      </c>
      <c r="V49" s="580">
        <f t="shared" si="28"/>
        <v>5.2012179668296996</v>
      </c>
      <c r="W49" s="580">
        <f t="shared" si="29"/>
        <v>4.5145259435475262</v>
      </c>
      <c r="X49" s="581">
        <f t="shared" si="30"/>
        <v>6.7714708826094077</v>
      </c>
      <c r="Y49" s="586"/>
      <c r="Z49" s="591"/>
      <c r="AA49" s="591"/>
      <c r="AB49" s="589" t="s">
        <v>61</v>
      </c>
      <c r="AC49" s="590" t="s">
        <v>70</v>
      </c>
      <c r="AD49" s="579">
        <f t="shared" si="31"/>
        <v>1.4754098360655714</v>
      </c>
      <c r="AE49" s="580">
        <f t="shared" si="31"/>
        <v>2.3466846747984702</v>
      </c>
      <c r="AF49" s="580">
        <f t="shared" si="31"/>
        <v>0.85860686854130674</v>
      </c>
      <c r="AG49" s="581">
        <f t="shared" si="31"/>
        <v>-5.9806474330064594</v>
      </c>
      <c r="AH49" s="581"/>
    </row>
    <row r="50" spans="2:34" ht="16" thickBot="1">
      <c r="B50" s="322" t="s">
        <v>60</v>
      </c>
      <c r="C50" s="323" t="s">
        <v>71</v>
      </c>
      <c r="D50" s="605">
        <f t="shared" si="34"/>
        <v>0.90000000000000568</v>
      </c>
      <c r="E50" s="606">
        <f t="shared" si="34"/>
        <v>-8.8336943558789471</v>
      </c>
      <c r="F50" s="606">
        <f t="shared" si="34"/>
        <v>-0.16146288784835772</v>
      </c>
      <c r="G50" s="606">
        <f t="shared" si="34"/>
        <v>-5.0950682203447002</v>
      </c>
      <c r="H50" s="613"/>
      <c r="I50" s="313"/>
      <c r="J50" s="313"/>
      <c r="K50" s="333" t="s">
        <v>61</v>
      </c>
      <c r="L50" s="328" t="s">
        <v>74</v>
      </c>
      <c r="M50" s="763">
        <f t="shared" si="35"/>
        <v>-9.9999999999994316E-2</v>
      </c>
      <c r="N50" s="764">
        <f t="shared" si="35"/>
        <v>-14.925722306702539</v>
      </c>
      <c r="O50" s="764">
        <f t="shared" si="35"/>
        <v>-0.22151870184252731</v>
      </c>
      <c r="P50" s="764">
        <f t="shared" si="35"/>
        <v>1.9553292299959963</v>
      </c>
      <c r="Q50" s="610"/>
      <c r="S50" s="589" t="s">
        <v>60</v>
      </c>
      <c r="T50" s="590" t="s">
        <v>71</v>
      </c>
      <c r="U50" s="579">
        <f t="shared" si="27"/>
        <v>1.1523687580025681</v>
      </c>
      <c r="V50" s="580">
        <f t="shared" si="28"/>
        <v>-2.5956147376852106</v>
      </c>
      <c r="W50" s="580">
        <f t="shared" si="29"/>
        <v>-3.7052849495343669</v>
      </c>
      <c r="X50" s="581">
        <f t="shared" si="30"/>
        <v>-5.9859694137212367</v>
      </c>
      <c r="Y50" s="586"/>
      <c r="Z50" s="591"/>
      <c r="AA50" s="591"/>
      <c r="AB50" s="596" t="s">
        <v>61</v>
      </c>
      <c r="AC50" s="590" t="s">
        <v>74</v>
      </c>
      <c r="AD50" s="582">
        <f t="shared" si="31"/>
        <v>-0.15243902439023527</v>
      </c>
      <c r="AE50" s="583">
        <f t="shared" si="31"/>
        <v>-5.4661311914323969</v>
      </c>
      <c r="AF50" s="583">
        <f t="shared" si="31"/>
        <v>-5.3218046741674252</v>
      </c>
      <c r="AG50" s="584">
        <f t="shared" si="31"/>
        <v>2.5061276288172389</v>
      </c>
      <c r="AH50" s="584"/>
    </row>
    <row r="51" spans="2:34" ht="16" thickBot="1">
      <c r="B51" s="322" t="s">
        <v>60</v>
      </c>
      <c r="C51" s="323" t="s">
        <v>72</v>
      </c>
      <c r="D51" s="605">
        <f t="shared" si="34"/>
        <v>1.0999999999999943</v>
      </c>
      <c r="E51" s="606">
        <f t="shared" si="34"/>
        <v>-4.7311649518752006</v>
      </c>
      <c r="F51" s="606">
        <f t="shared" si="34"/>
        <v>-0.13413896179814788</v>
      </c>
      <c r="G51" s="606">
        <f t="shared" si="34"/>
        <v>-4.9513237041430784</v>
      </c>
      <c r="H51" s="613"/>
      <c r="I51" s="313"/>
      <c r="J51" s="313"/>
      <c r="K51" s="313"/>
      <c r="L51" s="334" t="s">
        <v>76</v>
      </c>
      <c r="M51" s="765">
        <f>AVERAGE(M44:M50)</f>
        <v>0.55714285714285894</v>
      </c>
      <c r="N51" s="765">
        <f t="shared" ref="N51" si="36">AVERAGE(N42:N50)</f>
        <v>-12.115126619941114</v>
      </c>
      <c r="O51" s="765">
        <f>AVERAGE(O44:O50)</f>
        <v>-0.19335212772641933</v>
      </c>
      <c r="P51" s="765">
        <f t="shared" ref="P51" si="37">AVERAGE(P42:P50)</f>
        <v>0.9796218505451435</v>
      </c>
      <c r="Q51" s="611"/>
      <c r="S51" s="589" t="s">
        <v>60</v>
      </c>
      <c r="T51" s="590" t="s">
        <v>72</v>
      </c>
      <c r="U51" s="579">
        <f t="shared" si="27"/>
        <v>1.551480959097312</v>
      </c>
      <c r="V51" s="580">
        <f t="shared" si="28"/>
        <v>-1.4898620401337772</v>
      </c>
      <c r="W51" s="580">
        <f t="shared" si="29"/>
        <v>-2.9948780367428309</v>
      </c>
      <c r="X51" s="581">
        <f t="shared" si="30"/>
        <v>-5.6594181613630079</v>
      </c>
      <c r="Y51" s="586"/>
      <c r="Z51" s="591"/>
      <c r="AA51" s="591"/>
      <c r="AB51" s="591"/>
      <c r="AC51" s="597" t="s">
        <v>76</v>
      </c>
      <c r="AD51" s="588">
        <f>AVERAGE(AD44:AD50)</f>
        <v>0.72188396238211328</v>
      </c>
      <c r="AE51" s="588">
        <f>AVERAGE(AE44:AE50)</f>
        <v>-3.4537756779133484</v>
      </c>
      <c r="AF51" s="588">
        <f>AVERAGE(AF42:AF50)</f>
        <v>-4.1488953371231263</v>
      </c>
      <c r="AG51" s="588">
        <f t="shared" ref="AG51" si="38">AVERAGE(AG42:AG50)</f>
        <v>1.6127803568209573</v>
      </c>
      <c r="AH51" s="588"/>
    </row>
    <row r="52" spans="2:34" ht="16" thickBot="1">
      <c r="B52" s="333" t="s">
        <v>60</v>
      </c>
      <c r="C52" s="323" t="s">
        <v>73</v>
      </c>
      <c r="D52" s="608">
        <f t="shared" si="34"/>
        <v>-0.5</v>
      </c>
      <c r="E52" s="609">
        <f t="shared" si="34"/>
        <v>-40.376562689646789</v>
      </c>
      <c r="F52" s="609">
        <f t="shared" si="34"/>
        <v>-0.54056435934676905</v>
      </c>
      <c r="G52" s="609">
        <f t="shared" si="34"/>
        <v>-11.61386275020979</v>
      </c>
      <c r="H52" s="614"/>
      <c r="I52" s="313"/>
      <c r="J52" s="313"/>
      <c r="K52" s="313"/>
      <c r="L52" s="334" t="s">
        <v>13</v>
      </c>
      <c r="M52" s="765">
        <f>STDEVA(M42:M50)</f>
        <v>0.74330343736592452</v>
      </c>
      <c r="N52" s="765">
        <f t="shared" ref="N52:P52" si="39">STDEVA(N42:N50)</f>
        <v>12.425497463925144</v>
      </c>
      <c r="O52" s="765">
        <f>STDEVA(O44:O50)</f>
        <v>0.16804247969671507</v>
      </c>
      <c r="P52" s="765">
        <f t="shared" si="39"/>
        <v>7.3643395114211971</v>
      </c>
      <c r="Q52" s="611"/>
      <c r="S52" s="596" t="s">
        <v>60</v>
      </c>
      <c r="T52" s="590" t="s">
        <v>73</v>
      </c>
      <c r="U52" s="582">
        <f t="shared" si="27"/>
        <v>-0.70126227208976166</v>
      </c>
      <c r="V52" s="583">
        <f t="shared" si="28"/>
        <v>-13.453615283120927</v>
      </c>
      <c r="W52" s="583">
        <f t="shared" si="29"/>
        <v>-12.842412001222067</v>
      </c>
      <c r="X52" s="584">
        <f t="shared" si="30"/>
        <v>-14.799216419108932</v>
      </c>
      <c r="Y52" s="587"/>
      <c r="Z52" s="591"/>
      <c r="AA52" s="591"/>
      <c r="AB52" s="591"/>
      <c r="AC52" s="597" t="s">
        <v>13</v>
      </c>
      <c r="AD52" s="588">
        <f>STDEVA(AD44:AD50)</f>
        <v>1.0377419104105494</v>
      </c>
      <c r="AE52" s="588">
        <f>STDEVA(AE44:AE50)</f>
        <v>3.7745405328586235</v>
      </c>
      <c r="AF52" s="588">
        <f>STDEVA(AF42:AF50)</f>
        <v>3.5454013657150512</v>
      </c>
      <c r="AG52" s="588">
        <f t="shared" ref="AG52" si="40">STDEVA(AG42:AG50)</f>
        <v>9.1347655368102068</v>
      </c>
      <c r="AH52" s="588"/>
    </row>
    <row r="53" spans="2:34">
      <c r="B53" s="313"/>
      <c r="C53" s="334" t="s">
        <v>76</v>
      </c>
      <c r="D53" s="611">
        <f>AVERAGE(D44:D52)</f>
        <v>0.54444444444444351</v>
      </c>
      <c r="E53" s="611">
        <f t="shared" ref="E53:G53" si="41">AVERAGE(E44:E52)</f>
        <v>-13.054497762859288</v>
      </c>
      <c r="F53" s="611">
        <f>AVERAGE(F44:F52)</f>
        <v>-0.21422729823695891</v>
      </c>
      <c r="G53" s="611">
        <f t="shared" si="41"/>
        <v>-3.9253121241736215</v>
      </c>
      <c r="H53" s="611"/>
      <c r="I53" s="313"/>
      <c r="J53" s="313"/>
      <c r="K53" s="313"/>
      <c r="L53" s="334" t="s">
        <v>14</v>
      </c>
      <c r="M53" s="765">
        <f>M52/SQRT(COUNT(M42:M50))</f>
        <v>0.28094229198995879</v>
      </c>
      <c r="N53" s="765">
        <f t="shared" ref="N53" si="42">N52/SQRT(COUNT(N42:N50))</f>
        <v>4.6963966008299565</v>
      </c>
      <c r="O53" s="765">
        <f>O52/SQRT(COUNT(O44:O50))</f>
        <v>6.3514087281732676E-2</v>
      </c>
      <c r="P53" s="765">
        <f t="shared" ref="P53" si="43">P52/SQRT(COUNT(P42:P50))</f>
        <v>2.7834587024953428</v>
      </c>
      <c r="Q53" s="611"/>
      <c r="S53" s="591"/>
      <c r="T53" s="597" t="s">
        <v>76</v>
      </c>
      <c r="U53" s="588">
        <f>AVERAGE(U44:U52)</f>
        <v>0.75074260121005254</v>
      </c>
      <c r="V53" s="588">
        <f>AVERAGE(V44:V52)</f>
        <v>-4.0275961069678914</v>
      </c>
      <c r="W53" s="588">
        <f>AVERAGE(W44:W52)</f>
        <v>-4.7704658651144047</v>
      </c>
      <c r="X53" s="588">
        <f t="shared" ref="X53" si="44">AVERAGE(X44:X52)</f>
        <v>-4.6357226860354492</v>
      </c>
      <c r="Y53" s="588"/>
      <c r="Z53" s="591"/>
      <c r="AA53" s="591"/>
      <c r="AB53" s="591"/>
      <c r="AC53" s="597" t="s">
        <v>14</v>
      </c>
      <c r="AD53" s="588">
        <f>AD52/SQRT(COUNT(AD44:AD50))</f>
        <v>0.392229574287912</v>
      </c>
      <c r="AE53" s="588">
        <f>AE52/SQRT(COUNT(AE44:AE50))</f>
        <v>1.4266422233538774</v>
      </c>
      <c r="AF53" s="588">
        <f t="shared" ref="AF53:AG53" si="45">AF52/SQRT(COUNT(AF42:AF50))</f>
        <v>1.3400357587986838</v>
      </c>
      <c r="AG53" s="588">
        <f t="shared" si="45"/>
        <v>3.4526168421833203</v>
      </c>
      <c r="AH53" s="588"/>
    </row>
    <row r="54" spans="2:34" ht="16" thickBot="1">
      <c r="B54" s="313"/>
      <c r="C54" s="334" t="s">
        <v>13</v>
      </c>
      <c r="D54" s="611">
        <f>STDEVA(D44:D52)</f>
        <v>0.69661881813354609</v>
      </c>
      <c r="E54" s="611">
        <f t="shared" ref="E54:G54" si="46">STDEVA(E44:E52)</f>
        <v>18.738511008843229</v>
      </c>
      <c r="F54" s="611">
        <f>STDEVA(F44:F52)</f>
        <v>0.23113407043838663</v>
      </c>
      <c r="G54" s="611">
        <f t="shared" si="46"/>
        <v>4.567710234138687</v>
      </c>
      <c r="H54" s="611"/>
      <c r="I54" s="313"/>
      <c r="J54" s="313"/>
      <c r="K54" s="313"/>
      <c r="L54" s="373" t="s">
        <v>99</v>
      </c>
      <c r="M54" s="764">
        <f>M51/M13</f>
        <v>6.1983338515284002E-2</v>
      </c>
      <c r="N54" s="764">
        <f t="shared" ref="N54:P54" si="47">N51/N13</f>
        <v>-0.18287562183965128</v>
      </c>
      <c r="O54" s="764">
        <f>O51/O13</f>
        <v>-0.35608052285369929</v>
      </c>
      <c r="P54" s="764">
        <f t="shared" si="47"/>
        <v>0.16902128791900323</v>
      </c>
      <c r="Q54" s="609"/>
      <c r="S54" s="591"/>
      <c r="T54" s="597" t="s">
        <v>13</v>
      </c>
      <c r="U54" s="588">
        <f>STDEVA(U44:U52)</f>
        <v>0.97843103704533396</v>
      </c>
      <c r="V54" s="588">
        <f>STDEVA(V44:V52)</f>
        <v>5.8411067504628695</v>
      </c>
      <c r="W54" s="588">
        <f>STDEVA(W44:W52)</f>
        <v>5.2177644836625916</v>
      </c>
      <c r="X54" s="588">
        <f t="shared" ref="X54" si="48">STDEVA(X44:X52)</f>
        <v>5.5840197958727984</v>
      </c>
      <c r="Y54" s="588"/>
      <c r="Z54" s="591"/>
      <c r="AA54" s="591"/>
      <c r="AB54" s="591"/>
      <c r="AC54" s="598" t="s">
        <v>99</v>
      </c>
      <c r="AD54" s="583">
        <f>AD51/M33</f>
        <v>0.20383933780932023</v>
      </c>
      <c r="AE54" s="583"/>
      <c r="AF54" s="767">
        <f>(O31-O12)/O13</f>
        <v>-0.35608052285369984</v>
      </c>
      <c r="AG54" s="583">
        <f t="shared" ref="AG54" si="49">AG51/P33</f>
        <v>0.66005694601874743</v>
      </c>
      <c r="AH54" s="583"/>
    </row>
    <row r="55" spans="2:34">
      <c r="B55" s="313"/>
      <c r="C55" s="334" t="s">
        <v>14</v>
      </c>
      <c r="D55" s="611">
        <f>D54/SQRT(COUNT(D44:D52))</f>
        <v>0.23220627271118202</v>
      </c>
      <c r="E55" s="611">
        <f t="shared" ref="E55:G55" si="50">E54/SQRT(COUNT(E44:E52))</f>
        <v>6.2461703362810761</v>
      </c>
      <c r="F55" s="611">
        <f>F54/SQRT(COUNT(F44:F52))</f>
        <v>7.7044690146128872E-2</v>
      </c>
      <c r="G55" s="611">
        <f t="shared" si="50"/>
        <v>1.522570078046229</v>
      </c>
      <c r="H55" s="611"/>
      <c r="I55" s="313"/>
      <c r="J55" s="313"/>
      <c r="K55" s="313"/>
      <c r="L55" s="338" t="s">
        <v>100</v>
      </c>
      <c r="M55" s="766">
        <f>SQRT((((7-1)*(M13^2)+((9-1)*D15^2))/(9+7-2)))</f>
        <v>6.9254632203432331</v>
      </c>
      <c r="N55" s="766">
        <f>SQRT((((7-1)*(N13^2)+((9-1)*E15^2))/(9+7-2)))</f>
        <v>53.282208193704534</v>
      </c>
      <c r="O55" s="756">
        <f>SQRT((((7-1)*(O13^2)+((9-1)*F15^2))/(9+7-2)))</f>
        <v>0.45773128288290554</v>
      </c>
      <c r="P55" s="766">
        <f>SQRT((((7-1)*(P13^2)+((9-1)*G15^2))/(9+7-2)))</f>
        <v>4.7921752040789771</v>
      </c>
      <c r="Q55" s="618"/>
      <c r="S55" s="591"/>
      <c r="T55" s="597" t="s">
        <v>14</v>
      </c>
      <c r="U55" s="588">
        <f>U54/SQRT(COUNT(U44:U52))</f>
        <v>0.32614367901511132</v>
      </c>
      <c r="V55" s="588">
        <f t="shared" ref="V55" si="51">V54/SQRT(COUNT(V44:V52))</f>
        <v>1.9470355834876232</v>
      </c>
      <c r="W55" s="588">
        <f>W54/SQRT(COUNT(W44:W52))</f>
        <v>1.7392548278875306</v>
      </c>
      <c r="X55" s="588">
        <f t="shared" ref="X55" si="52">X54/SQRT(COUNT(X44:X52))</f>
        <v>1.8613399319575994</v>
      </c>
      <c r="Y55" s="588"/>
      <c r="Z55" s="591"/>
      <c r="AA55" s="591"/>
      <c r="AB55" s="591"/>
      <c r="AC55" s="599"/>
      <c r="AD55" s="600"/>
      <c r="AE55" s="600"/>
      <c r="AF55" s="600"/>
      <c r="AG55" s="600"/>
      <c r="AH55" s="591"/>
    </row>
    <row r="56" spans="2:34" ht="16" thickBot="1">
      <c r="B56" s="313"/>
      <c r="C56" s="373" t="s">
        <v>99</v>
      </c>
      <c r="D56" s="609">
        <f>D53/D15</f>
        <v>0.11270064591742775</v>
      </c>
      <c r="E56" s="615">
        <f t="shared" ref="E56:G56" si="53">E53/E15</f>
        <v>-0.3188151184549915</v>
      </c>
      <c r="F56" s="609">
        <f>F53/F15</f>
        <v>-0.56158488308525145</v>
      </c>
      <c r="G56" s="609">
        <f t="shared" si="53"/>
        <v>-1.0136885767659805</v>
      </c>
      <c r="H56" s="616"/>
      <c r="I56" s="313"/>
      <c r="J56" s="313"/>
      <c r="K56" s="313"/>
      <c r="L56" s="338" t="s">
        <v>101</v>
      </c>
      <c r="M56" s="766">
        <f>(M51-D53)/M55</f>
        <v>1.8335831545699961E-3</v>
      </c>
      <c r="N56" s="766">
        <f>(N51-E53)/N55</f>
        <v>1.7630109088255925E-2</v>
      </c>
      <c r="O56" s="756">
        <f>(O51-F53)/O55</f>
        <v>4.5605732645281664E-2</v>
      </c>
      <c r="P56" s="766">
        <f>(P51-G53)/P55</f>
        <v>1.0235297679733852</v>
      </c>
      <c r="Q56" s="618"/>
      <c r="S56" s="591"/>
      <c r="T56" s="598" t="s">
        <v>99</v>
      </c>
      <c r="U56" s="583">
        <f>U53/D35</f>
        <v>0.46310438199196835</v>
      </c>
      <c r="V56" s="583">
        <f>V53/E35</f>
        <v>-0.28601207831851627</v>
      </c>
      <c r="W56" s="767">
        <f>(F33-F14)/F15</f>
        <v>-0.56158488308525134</v>
      </c>
      <c r="X56" s="583">
        <f>X53/G35</f>
        <v>-2.1671854489882536</v>
      </c>
      <c r="Y56" s="601"/>
      <c r="Z56" s="591"/>
      <c r="AA56" s="591"/>
      <c r="AB56" s="591"/>
      <c r="AC56" s="599"/>
      <c r="AD56" s="600"/>
      <c r="AE56" s="600"/>
      <c r="AF56" s="600"/>
      <c r="AG56" s="600"/>
      <c r="AH56" s="591"/>
    </row>
    <row r="57" spans="2:34">
      <c r="B57" s="313"/>
      <c r="C57" s="338" t="s">
        <v>100</v>
      </c>
      <c r="D57" s="617">
        <f>SQRT((((7-1)*(M13^2)+((9-1)*D15^2))/(9+7-2)))</f>
        <v>6.9254632203432331</v>
      </c>
      <c r="E57" s="617">
        <f>SQRT((((7-1)*(N13^2)+((9-1)*E15^2))/(9+7-2)))</f>
        <v>53.282208193704534</v>
      </c>
      <c r="F57" s="758">
        <f>SQRT((((7-1)*(O13^2)+((9-1)*F15^2))/(9+7-2)))</f>
        <v>0.45773128288290554</v>
      </c>
      <c r="G57" s="617">
        <f>SQRT((((7-1)*(P13^2)+((9-1)*G15^2))/(9+7-2)))</f>
        <v>4.7921752040789771</v>
      </c>
      <c r="H57" s="618"/>
      <c r="I57" s="313"/>
      <c r="J57" s="313"/>
      <c r="K57" s="313"/>
      <c r="L57" s="313"/>
      <c r="M57" s="313"/>
      <c r="N57" s="313"/>
      <c r="O57" s="313"/>
      <c r="P57" s="313"/>
      <c r="Q57" s="313"/>
    </row>
    <row r="58" spans="2:34">
      <c r="B58" s="313"/>
      <c r="C58" s="338" t="s">
        <v>101</v>
      </c>
      <c r="D58" s="617">
        <f>(D53-M51)/D57</f>
        <v>-1.8335831545699961E-3</v>
      </c>
      <c r="E58" s="617">
        <f>(E53-N51)/E57</f>
        <v>-1.7630109088255925E-2</v>
      </c>
      <c r="F58" s="758">
        <f>(F53-O51)/F57</f>
        <v>-4.5605732645281664E-2</v>
      </c>
      <c r="G58" s="617">
        <f>(G53-P51)/G57</f>
        <v>-1.0235297679733852</v>
      </c>
      <c r="H58" s="618"/>
      <c r="I58" s="313"/>
      <c r="J58" s="313"/>
      <c r="K58" s="313"/>
      <c r="L58" s="313"/>
      <c r="M58" s="313"/>
      <c r="N58" s="313"/>
      <c r="O58" s="313"/>
      <c r="P58" s="313"/>
      <c r="Q58" s="313"/>
    </row>
    <row r="64" spans="2:34">
      <c r="R64" s="593"/>
    </row>
    <row r="65" spans="18:18">
      <c r="R65" s="593"/>
    </row>
    <row r="66" spans="18:18">
      <c r="R66" s="593"/>
    </row>
    <row r="67" spans="18:18">
      <c r="R67" s="593"/>
    </row>
    <row r="68" spans="18:18">
      <c r="R68" s="593"/>
    </row>
    <row r="69" spans="18:18">
      <c r="R69" s="593"/>
    </row>
    <row r="70" spans="18:18">
      <c r="R70" s="593"/>
    </row>
    <row r="71" spans="18:18">
      <c r="R71" s="593"/>
    </row>
    <row r="72" spans="18:18">
      <c r="R72" s="593"/>
    </row>
    <row r="73" spans="18:18">
      <c r="R73" s="593"/>
    </row>
    <row r="74" spans="18:18">
      <c r="R74" s="593"/>
    </row>
    <row r="75" spans="18:18">
      <c r="R75" s="593"/>
    </row>
    <row r="76" spans="18:18">
      <c r="R76" s="593"/>
    </row>
  </sheetData>
  <mergeCells count="16">
    <mergeCell ref="S41:T41"/>
    <mergeCell ref="AB41:AC41"/>
    <mergeCell ref="S42:T43"/>
    <mergeCell ref="AB42:AC43"/>
    <mergeCell ref="B42:C43"/>
    <mergeCell ref="K42:L43"/>
    <mergeCell ref="B41:C41"/>
    <mergeCell ref="K41:L41"/>
    <mergeCell ref="B22:C23"/>
    <mergeCell ref="K2:L2"/>
    <mergeCell ref="K3:L4"/>
    <mergeCell ref="K21:L21"/>
    <mergeCell ref="K22:L23"/>
    <mergeCell ref="B2:C2"/>
    <mergeCell ref="B3:C4"/>
    <mergeCell ref="B21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8"/>
  <sheetViews>
    <sheetView zoomScale="82" workbookViewId="0">
      <selection activeCell="Q30" sqref="Q30"/>
    </sheetView>
  </sheetViews>
  <sheetFormatPr baseColWidth="10" defaultRowHeight="15.5"/>
  <cols>
    <col min="5" max="5" width="17.33203125" bestFit="1" customWidth="1"/>
    <col min="6" max="6" width="13.1640625" bestFit="1" customWidth="1"/>
    <col min="12" max="12" width="17.33203125" bestFit="1" customWidth="1"/>
    <col min="13" max="13" width="13.1640625" bestFit="1" customWidth="1"/>
  </cols>
  <sheetData>
    <row r="1" spans="2:15" ht="16" thickBot="1"/>
    <row r="2" spans="2:15">
      <c r="B2" s="1344" t="s">
        <v>156</v>
      </c>
      <c r="C2" s="1389"/>
      <c r="D2" s="6" t="s">
        <v>31</v>
      </c>
      <c r="E2" s="784" t="s">
        <v>16</v>
      </c>
      <c r="F2" s="785" t="s">
        <v>22</v>
      </c>
      <c r="I2" s="1344" t="s">
        <v>156</v>
      </c>
      <c r="J2" s="1389"/>
      <c r="K2" s="6" t="s">
        <v>31</v>
      </c>
      <c r="L2" s="784" t="s">
        <v>16</v>
      </c>
      <c r="M2" s="785" t="s">
        <v>22</v>
      </c>
      <c r="O2" s="1174">
        <v>6.37</v>
      </c>
    </row>
    <row r="3" spans="2:15" ht="16" thickBot="1">
      <c r="B3" s="1336"/>
      <c r="C3" s="1390"/>
      <c r="D3" s="41" t="s">
        <v>2</v>
      </c>
      <c r="E3" s="782" t="s">
        <v>3</v>
      </c>
      <c r="F3" s="786" t="s">
        <v>21</v>
      </c>
      <c r="I3" s="1336"/>
      <c r="J3" s="1390"/>
      <c r="K3" s="41" t="s">
        <v>2</v>
      </c>
      <c r="L3" s="782" t="s">
        <v>3</v>
      </c>
      <c r="M3" s="786" t="s">
        <v>21</v>
      </c>
      <c r="O3" s="1175">
        <v>5.8</v>
      </c>
    </row>
    <row r="4" spans="2:15">
      <c r="B4" s="541" t="s">
        <v>60</v>
      </c>
      <c r="C4" s="751" t="s">
        <v>57</v>
      </c>
      <c r="D4" s="548">
        <v>79.8</v>
      </c>
      <c r="E4" s="787">
        <v>515.79999999999995</v>
      </c>
      <c r="F4" s="788">
        <v>6.46</v>
      </c>
      <c r="I4" s="544" t="s">
        <v>61</v>
      </c>
      <c r="J4" s="748" t="s">
        <v>58</v>
      </c>
      <c r="K4" s="548">
        <v>74</v>
      </c>
      <c r="L4" s="787">
        <v>471.7</v>
      </c>
      <c r="M4" s="788">
        <v>6.37</v>
      </c>
      <c r="O4" s="1175">
        <v>5.96</v>
      </c>
    </row>
    <row r="5" spans="2:15">
      <c r="B5" s="541" t="s">
        <v>60</v>
      </c>
      <c r="C5" s="751" t="s">
        <v>59</v>
      </c>
      <c r="D5" s="50">
        <v>72.099999999999994</v>
      </c>
      <c r="E5" s="789">
        <v>500</v>
      </c>
      <c r="F5" s="790">
        <v>6.93</v>
      </c>
      <c r="I5" s="545" t="s">
        <v>61</v>
      </c>
      <c r="J5" s="751" t="s">
        <v>63</v>
      </c>
      <c r="K5" s="50">
        <v>74</v>
      </c>
      <c r="L5" s="789">
        <v>429.2</v>
      </c>
      <c r="M5" s="790">
        <v>5.8</v>
      </c>
      <c r="O5" s="1175">
        <v>5.83</v>
      </c>
    </row>
    <row r="6" spans="2:15">
      <c r="B6" s="541" t="s">
        <v>60</v>
      </c>
      <c r="C6" s="751" t="s">
        <v>62</v>
      </c>
      <c r="D6" s="750">
        <v>72.8</v>
      </c>
      <c r="E6" s="789">
        <v>401.7</v>
      </c>
      <c r="F6" s="790">
        <v>5.52</v>
      </c>
      <c r="I6" s="545" t="s">
        <v>61</v>
      </c>
      <c r="J6" s="751" t="s">
        <v>65</v>
      </c>
      <c r="K6" s="50">
        <v>83.9</v>
      </c>
      <c r="L6" s="789">
        <v>500</v>
      </c>
      <c r="M6" s="790">
        <v>5.96</v>
      </c>
      <c r="O6" s="1175">
        <v>5.99</v>
      </c>
    </row>
    <row r="7" spans="2:15">
      <c r="B7" s="541" t="s">
        <v>60</v>
      </c>
      <c r="C7" s="751" t="s">
        <v>64</v>
      </c>
      <c r="D7" s="50">
        <v>63.2</v>
      </c>
      <c r="E7" s="789">
        <v>365.8</v>
      </c>
      <c r="F7" s="790">
        <v>5.79</v>
      </c>
      <c r="I7" s="546" t="s">
        <v>61</v>
      </c>
      <c r="J7" s="751" t="s">
        <v>66</v>
      </c>
      <c r="K7" s="50">
        <v>85.8</v>
      </c>
      <c r="L7" s="789">
        <v>500</v>
      </c>
      <c r="M7" s="790">
        <v>5.83</v>
      </c>
      <c r="O7" s="1175">
        <v>5.53</v>
      </c>
    </row>
    <row r="8" spans="2:15">
      <c r="B8" s="542" t="s">
        <v>60</v>
      </c>
      <c r="C8" s="751" t="s">
        <v>67</v>
      </c>
      <c r="D8" s="50">
        <v>73.900000000000006</v>
      </c>
      <c r="E8" s="789">
        <v>425</v>
      </c>
      <c r="F8" s="790">
        <v>5.75</v>
      </c>
      <c r="I8" s="545" t="s">
        <v>61</v>
      </c>
      <c r="J8" s="751" t="s">
        <v>69</v>
      </c>
      <c r="K8" s="50">
        <v>71</v>
      </c>
      <c r="L8" s="789">
        <v>425</v>
      </c>
      <c r="M8" s="790">
        <v>5.99</v>
      </c>
      <c r="O8" s="1174">
        <v>6.29</v>
      </c>
    </row>
    <row r="9" spans="2:15">
      <c r="B9" s="541" t="s">
        <v>60</v>
      </c>
      <c r="C9" s="751" t="s">
        <v>68</v>
      </c>
      <c r="D9" s="50">
        <v>76.099999999999994</v>
      </c>
      <c r="E9" s="789">
        <v>425</v>
      </c>
      <c r="F9" s="790">
        <v>5.58</v>
      </c>
      <c r="I9" s="545" t="s">
        <v>61</v>
      </c>
      <c r="J9" s="751" t="s">
        <v>70</v>
      </c>
      <c r="K9" s="50">
        <v>61</v>
      </c>
      <c r="L9" s="789">
        <v>337.5</v>
      </c>
      <c r="M9" s="790">
        <v>5.53</v>
      </c>
      <c r="O9" s="1174">
        <v>6.46</v>
      </c>
    </row>
    <row r="10" spans="2:15" ht="16" thickBot="1">
      <c r="B10" s="541" t="s">
        <v>60</v>
      </c>
      <c r="C10" s="751" t="s">
        <v>71</v>
      </c>
      <c r="D10" s="50">
        <v>78.099999999999994</v>
      </c>
      <c r="E10" s="789">
        <v>475</v>
      </c>
      <c r="F10" s="790">
        <v>6.08</v>
      </c>
      <c r="I10" s="547" t="s">
        <v>61</v>
      </c>
      <c r="J10" s="749" t="s">
        <v>74</v>
      </c>
      <c r="K10" s="58">
        <v>65.599999999999994</v>
      </c>
      <c r="L10" s="783">
        <v>412.5</v>
      </c>
      <c r="M10" s="791">
        <v>6.29</v>
      </c>
      <c r="O10" s="1175">
        <v>6.93</v>
      </c>
    </row>
    <row r="11" spans="2:15">
      <c r="B11" s="541" t="s">
        <v>60</v>
      </c>
      <c r="C11" s="751" t="s">
        <v>72</v>
      </c>
      <c r="D11" s="50">
        <v>70.900000000000006</v>
      </c>
      <c r="E11" s="789">
        <v>425</v>
      </c>
      <c r="F11" s="790">
        <v>5.99</v>
      </c>
      <c r="O11" s="1175">
        <v>5.52</v>
      </c>
    </row>
    <row r="12" spans="2:15" ht="16" thickBot="1">
      <c r="B12" s="543" t="s">
        <v>60</v>
      </c>
      <c r="C12" s="749" t="s">
        <v>73</v>
      </c>
      <c r="D12" s="58">
        <v>71.3</v>
      </c>
      <c r="E12" s="783">
        <v>443.8</v>
      </c>
      <c r="F12" s="791">
        <v>6.22</v>
      </c>
      <c r="O12" s="1175">
        <v>5.79</v>
      </c>
    </row>
    <row r="13" spans="2:15">
      <c r="C13" s="16" t="s">
        <v>76</v>
      </c>
      <c r="D13" s="36">
        <f>AVERAGE(D4:D12)</f>
        <v>73.133333333333326</v>
      </c>
      <c r="E13" s="36">
        <f t="shared" ref="E13:F13" si="0">AVERAGE(E4:E12)</f>
        <v>441.90000000000003</v>
      </c>
      <c r="F13" s="36">
        <f t="shared" si="0"/>
        <v>6.0355555555555558</v>
      </c>
      <c r="J13" s="16" t="s">
        <v>76</v>
      </c>
      <c r="K13" s="26">
        <f t="shared" ref="K13:M13" si="1">AVERAGE(K4:K10)</f>
        <v>73.614285714285714</v>
      </c>
      <c r="L13" s="26">
        <f t="shared" si="1"/>
        <v>439.41428571428571</v>
      </c>
      <c r="M13" s="26">
        <f t="shared" si="1"/>
        <v>5.967142857142858</v>
      </c>
      <c r="O13" s="1175">
        <v>5.75</v>
      </c>
    </row>
    <row r="14" spans="2:15">
      <c r="C14" s="16" t="s">
        <v>13</v>
      </c>
      <c r="D14" s="36">
        <f>STDEVA(D4:D12)</f>
        <v>4.8308901871187233</v>
      </c>
      <c r="E14" s="36">
        <f t="shared" ref="E14:F14" si="2">STDEVA(E4:E12)</f>
        <v>47.697117313313136</v>
      </c>
      <c r="F14" s="36">
        <f t="shared" si="2"/>
        <v>0.45186035207548114</v>
      </c>
      <c r="J14" s="16" t="s">
        <v>13</v>
      </c>
      <c r="K14" s="26">
        <f t="shared" ref="K14:M14" si="3">STDEVA(K4:K10)</f>
        <v>8.9885906517519594</v>
      </c>
      <c r="L14" s="26">
        <f t="shared" si="3"/>
        <v>57.455241378874788</v>
      </c>
      <c r="M14" s="26">
        <f t="shared" si="3"/>
        <v>0.29009850543762344</v>
      </c>
      <c r="O14" s="1175">
        <v>5.58</v>
      </c>
    </row>
    <row r="15" spans="2:15">
      <c r="C15" s="16" t="s">
        <v>14</v>
      </c>
      <c r="D15" s="36">
        <f>D14/SQRT(COUNT(D4:D12))</f>
        <v>1.6102967290395744</v>
      </c>
      <c r="E15" s="36">
        <f t="shared" ref="E15:F15" si="4">E14/SQRT(COUNT(E4:E12))</f>
        <v>15.899039104437712</v>
      </c>
      <c r="F15" s="36">
        <f t="shared" si="4"/>
        <v>0.1506201173584937</v>
      </c>
      <c r="J15" s="16" t="s">
        <v>14</v>
      </c>
      <c r="K15" s="26">
        <f t="shared" ref="K15:M15" si="5">K14/SQRT(COUNT(K4:K10))</f>
        <v>3.3973679287850955</v>
      </c>
      <c r="L15" s="26">
        <f t="shared" si="5"/>
        <v>21.716040029384356</v>
      </c>
      <c r="M15" s="26">
        <f t="shared" si="5"/>
        <v>0.10964692872849578</v>
      </c>
      <c r="O15" s="1175">
        <v>6.08</v>
      </c>
    </row>
    <row r="16" spans="2:15">
      <c r="O16" s="1175">
        <v>5.99</v>
      </c>
    </row>
    <row r="17" spans="2:15" ht="16" thickBot="1">
      <c r="O17" s="1176">
        <v>6.22</v>
      </c>
    </row>
    <row r="18" spans="2:15" ht="16" thickBot="1">
      <c r="O18" s="26">
        <f>AVERAGE(O2:O17)</f>
        <v>6.0056250000000002</v>
      </c>
    </row>
    <row r="19" spans="2:15">
      <c r="B19" s="1344" t="s">
        <v>157</v>
      </c>
      <c r="C19" s="1389"/>
      <c r="D19" s="6" t="s">
        <v>31</v>
      </c>
      <c r="E19" s="784" t="s">
        <v>16</v>
      </c>
      <c r="F19" s="785" t="s">
        <v>22</v>
      </c>
      <c r="I19" s="1344" t="s">
        <v>157</v>
      </c>
      <c r="J19" s="1389"/>
      <c r="K19" s="6" t="s">
        <v>31</v>
      </c>
      <c r="L19" s="784" t="s">
        <v>16</v>
      </c>
      <c r="M19" s="785" t="s">
        <v>22</v>
      </c>
      <c r="O19" s="26">
        <f>STDEVA(O2:O17)</f>
        <v>0.37919157427347983</v>
      </c>
    </row>
    <row r="20" spans="2:15" ht="16" thickBot="1">
      <c r="B20" s="1336"/>
      <c r="C20" s="1390"/>
      <c r="D20" s="41" t="s">
        <v>2</v>
      </c>
      <c r="E20" s="782" t="s">
        <v>3</v>
      </c>
      <c r="F20" s="786" t="s">
        <v>21</v>
      </c>
      <c r="I20" s="1336"/>
      <c r="J20" s="1390"/>
      <c r="K20" s="41" t="s">
        <v>2</v>
      </c>
      <c r="L20" s="782" t="s">
        <v>3</v>
      </c>
      <c r="M20" s="786" t="s">
        <v>21</v>
      </c>
      <c r="O20" s="26">
        <f>O19/SQRT(COUNT(O2:O17))</f>
        <v>9.4797893568369956E-2</v>
      </c>
    </row>
    <row r="21" spans="2:15">
      <c r="B21" s="541" t="s">
        <v>60</v>
      </c>
      <c r="C21" s="751" t="s">
        <v>57</v>
      </c>
      <c r="D21" s="548">
        <v>80.5</v>
      </c>
      <c r="E21" s="787">
        <v>502.1</v>
      </c>
      <c r="F21" s="788">
        <v>6.24</v>
      </c>
      <c r="I21" s="544" t="s">
        <v>61</v>
      </c>
      <c r="J21" s="748" t="s">
        <v>58</v>
      </c>
      <c r="K21" s="548">
        <v>74.8</v>
      </c>
      <c r="L21" s="787">
        <v>459.2</v>
      </c>
      <c r="M21" s="788">
        <v>6.14</v>
      </c>
    </row>
    <row r="22" spans="2:15">
      <c r="B22" s="541" t="s">
        <v>60</v>
      </c>
      <c r="C22" s="751" t="s">
        <v>59</v>
      </c>
      <c r="D22" s="50">
        <v>71.599999999999994</v>
      </c>
      <c r="E22" s="792">
        <v>450</v>
      </c>
      <c r="F22" s="793">
        <v>6.28</v>
      </c>
      <c r="I22" s="545" t="s">
        <v>61</v>
      </c>
      <c r="J22" s="751" t="s">
        <v>63</v>
      </c>
      <c r="K22" s="50">
        <v>74.2</v>
      </c>
      <c r="L22" s="792">
        <v>430.8</v>
      </c>
      <c r="M22" s="793">
        <v>5.81</v>
      </c>
    </row>
    <row r="23" spans="2:15">
      <c r="B23" s="541" t="s">
        <v>60</v>
      </c>
      <c r="C23" s="751" t="s">
        <v>62</v>
      </c>
      <c r="D23" s="50">
        <v>74.3</v>
      </c>
      <c r="E23" s="792">
        <v>412.5</v>
      </c>
      <c r="F23" s="793">
        <v>5.55</v>
      </c>
      <c r="I23" s="545" t="s">
        <v>61</v>
      </c>
      <c r="J23" s="751" t="s">
        <v>65</v>
      </c>
      <c r="K23" s="50">
        <v>85.9</v>
      </c>
      <c r="L23" s="792">
        <v>497.9</v>
      </c>
      <c r="M23" s="793">
        <v>5.8</v>
      </c>
    </row>
    <row r="24" spans="2:15">
      <c r="B24" s="541" t="s">
        <v>60</v>
      </c>
      <c r="C24" s="751" t="s">
        <v>64</v>
      </c>
      <c r="D24" s="50">
        <v>64.2</v>
      </c>
      <c r="E24" s="792">
        <v>375.4</v>
      </c>
      <c r="F24" s="793">
        <v>5.85</v>
      </c>
      <c r="I24" s="546" t="s">
        <v>61</v>
      </c>
      <c r="J24" s="751" t="s">
        <v>66</v>
      </c>
      <c r="K24" s="50">
        <v>86.4</v>
      </c>
      <c r="L24" s="792">
        <v>500</v>
      </c>
      <c r="M24" s="793">
        <v>5.79</v>
      </c>
    </row>
    <row r="25" spans="2:15">
      <c r="B25" s="542" t="s">
        <v>60</v>
      </c>
      <c r="C25" s="751" t="s">
        <v>67</v>
      </c>
      <c r="D25" s="50">
        <v>74.099999999999994</v>
      </c>
      <c r="E25" s="792">
        <v>400</v>
      </c>
      <c r="F25" s="793">
        <v>5.4</v>
      </c>
      <c r="I25" s="545" t="s">
        <v>61</v>
      </c>
      <c r="J25" s="751" t="s">
        <v>69</v>
      </c>
      <c r="K25" s="50">
        <v>70.5</v>
      </c>
      <c r="L25" s="792">
        <v>462.5</v>
      </c>
      <c r="M25" s="793">
        <v>6.56</v>
      </c>
    </row>
    <row r="26" spans="2:15">
      <c r="B26" s="541" t="s">
        <v>60</v>
      </c>
      <c r="C26" s="751" t="s">
        <v>68</v>
      </c>
      <c r="D26" s="50">
        <v>76.599999999999994</v>
      </c>
      <c r="E26" s="792">
        <v>437.5</v>
      </c>
      <c r="F26" s="793">
        <v>5.71</v>
      </c>
      <c r="I26" s="545" t="s">
        <v>61</v>
      </c>
      <c r="J26" s="751" t="s">
        <v>70</v>
      </c>
      <c r="K26" s="50">
        <v>61.9</v>
      </c>
      <c r="L26" s="792">
        <v>379.2</v>
      </c>
      <c r="M26" s="793">
        <v>6.13</v>
      </c>
    </row>
    <row r="27" spans="2:15" ht="16" thickBot="1">
      <c r="B27" s="541" t="s">
        <v>60</v>
      </c>
      <c r="C27" s="751" t="s">
        <v>71</v>
      </c>
      <c r="D27" s="50">
        <v>79</v>
      </c>
      <c r="E27" s="792">
        <v>475</v>
      </c>
      <c r="F27" s="793">
        <v>6.01</v>
      </c>
      <c r="I27" s="547" t="s">
        <v>61</v>
      </c>
      <c r="J27" s="749" t="s">
        <v>74</v>
      </c>
      <c r="K27" s="58">
        <v>65.5</v>
      </c>
      <c r="L27" s="783">
        <v>387.5</v>
      </c>
      <c r="M27" s="791">
        <v>5.92</v>
      </c>
    </row>
    <row r="28" spans="2:15">
      <c r="B28" s="541" t="s">
        <v>60</v>
      </c>
      <c r="C28" s="751" t="s">
        <v>72</v>
      </c>
      <c r="D28" s="50">
        <v>72</v>
      </c>
      <c r="E28" s="792">
        <v>462.5</v>
      </c>
      <c r="F28" s="793">
        <v>6.42</v>
      </c>
    </row>
    <row r="29" spans="2:15" ht="16" thickBot="1">
      <c r="B29" s="543" t="s">
        <v>60</v>
      </c>
      <c r="C29" s="749" t="s">
        <v>73</v>
      </c>
      <c r="D29" s="41">
        <v>70.8</v>
      </c>
      <c r="E29" s="783">
        <v>443.8</v>
      </c>
      <c r="F29" s="791">
        <v>6.27</v>
      </c>
      <c r="J29" s="16" t="s">
        <v>76</v>
      </c>
      <c r="K29" s="26">
        <f t="shared" ref="K29:M29" si="6">AVERAGE(K20:K26)</f>
        <v>75.61666666666666</v>
      </c>
      <c r="L29" s="26">
        <f t="shared" si="6"/>
        <v>454.93333333333334</v>
      </c>
      <c r="M29" s="26">
        <f t="shared" si="6"/>
        <v>6.0383333333333331</v>
      </c>
    </row>
    <row r="30" spans="2:15">
      <c r="C30" s="16" t="s">
        <v>76</v>
      </c>
      <c r="D30" s="36">
        <f>AVERAGE(D21:D29)</f>
        <v>73.677777777777763</v>
      </c>
      <c r="E30" s="36">
        <f t="shared" ref="E30" si="7">AVERAGE(E21:E29)</f>
        <v>439.86666666666667</v>
      </c>
      <c r="F30" s="36">
        <f t="shared" ref="F30" si="8">AVERAGE(F21:F29)</f>
        <v>5.9700000000000006</v>
      </c>
      <c r="J30" s="16" t="s">
        <v>13</v>
      </c>
      <c r="K30" s="26">
        <f t="shared" ref="K30:M30" si="9">STDEVA(K20:K26)</f>
        <v>29.833059323030035</v>
      </c>
      <c r="L30" s="26">
        <f t="shared" si="9"/>
        <v>176.85613604606098</v>
      </c>
      <c r="M30" s="26">
        <f t="shared" si="9"/>
        <v>2.2990639917356019</v>
      </c>
    </row>
    <row r="31" spans="2:15">
      <c r="C31" s="16" t="s">
        <v>13</v>
      </c>
      <c r="D31" s="36">
        <f>STDEVA(D21:D29)</f>
        <v>4.863326479318907</v>
      </c>
      <c r="E31" s="36">
        <f t="shared" ref="E31:F31" si="10">STDEVA(E21:E29)</f>
        <v>39.111379418271618</v>
      </c>
      <c r="F31" s="36">
        <f t="shared" si="10"/>
        <v>0.36166282640050246</v>
      </c>
      <c r="J31" s="16" t="s">
        <v>14</v>
      </c>
      <c r="K31" s="26">
        <f t="shared" ref="K31:M31" si="11">K30/SQRT(COUNT(K20:K26))</f>
        <v>12.179295467934024</v>
      </c>
      <c r="L31" s="26">
        <f t="shared" si="11"/>
        <v>72.201215198848786</v>
      </c>
      <c r="M31" s="26">
        <f t="shared" si="11"/>
        <v>0.93858894429308448</v>
      </c>
    </row>
    <row r="32" spans="2:15">
      <c r="C32" s="16" t="s">
        <v>14</v>
      </c>
      <c r="D32" s="115">
        <f>D31/SQRT(COUNT(D21:D29))</f>
        <v>1.6211088264396356</v>
      </c>
      <c r="E32" s="115">
        <f t="shared" ref="E32" si="12">E31/SQRT(COUNT(E21:E29))</f>
        <v>13.037126472757206</v>
      </c>
      <c r="F32" s="115">
        <f t="shared" ref="F32" si="13">F31/SQRT(COUNT(F21:F29))</f>
        <v>0.12055427546683416</v>
      </c>
      <c r="J32" s="16" t="s">
        <v>99</v>
      </c>
      <c r="K32" s="117">
        <f>(K29-K13)/K14</f>
        <v>0.2227691781681774</v>
      </c>
      <c r="L32" s="117">
        <f t="shared" ref="L32:M32" si="14">(L29-L13)/L14</f>
        <v>0.27010673433100724</v>
      </c>
      <c r="M32" s="115">
        <f t="shared" si="14"/>
        <v>0.24540104432141727</v>
      </c>
    </row>
    <row r="33" spans="2:13">
      <c r="C33" s="16" t="s">
        <v>99</v>
      </c>
      <c r="D33" s="117">
        <f>(D30-D13)/D14</f>
        <v>0.11270064591742644</v>
      </c>
      <c r="E33" s="117">
        <f t="shared" ref="E33:F33" si="15">(E30-E13)/E14</f>
        <v>-4.2630109488101482E-2</v>
      </c>
      <c r="F33" s="117">
        <f t="shared" si="15"/>
        <v>-0.14507923798679376</v>
      </c>
    </row>
    <row r="34" spans="2:13" ht="16" thickBot="1"/>
    <row r="35" spans="2:13">
      <c r="B35" s="1381" t="s">
        <v>170</v>
      </c>
      <c r="C35" s="1399"/>
      <c r="D35" s="388" t="s">
        <v>31</v>
      </c>
      <c r="E35" s="794" t="s">
        <v>16</v>
      </c>
      <c r="F35" s="795" t="s">
        <v>22</v>
      </c>
      <c r="G35" s="313"/>
      <c r="H35" s="313"/>
      <c r="I35" s="1381" t="s">
        <v>170</v>
      </c>
      <c r="J35" s="1399"/>
      <c r="K35" s="388" t="s">
        <v>31</v>
      </c>
      <c r="L35" s="794" t="s">
        <v>16</v>
      </c>
      <c r="M35" s="795" t="s">
        <v>22</v>
      </c>
    </row>
    <row r="36" spans="2:13" ht="16" thickBot="1">
      <c r="B36" s="1383"/>
      <c r="C36" s="1400"/>
      <c r="D36" s="390" t="s">
        <v>2</v>
      </c>
      <c r="E36" s="796" t="s">
        <v>3</v>
      </c>
      <c r="F36" s="797" t="s">
        <v>21</v>
      </c>
      <c r="G36" s="313"/>
      <c r="H36" s="313"/>
      <c r="I36" s="1383"/>
      <c r="J36" s="1400"/>
      <c r="K36" s="390" t="s">
        <v>2</v>
      </c>
      <c r="L36" s="796" t="s">
        <v>3</v>
      </c>
      <c r="M36" s="797" t="s">
        <v>21</v>
      </c>
    </row>
    <row r="37" spans="2:13">
      <c r="B37" s="322" t="s">
        <v>60</v>
      </c>
      <c r="C37" s="527" t="s">
        <v>57</v>
      </c>
      <c r="D37" s="759">
        <f>D21-D4</f>
        <v>0.70000000000000284</v>
      </c>
      <c r="E37" s="760">
        <f>E21-E4</f>
        <v>-13.699999999999932</v>
      </c>
      <c r="F37" s="798">
        <f t="shared" ref="F37" si="16">F21-F4</f>
        <v>-0.21999999999999975</v>
      </c>
      <c r="G37" s="313"/>
      <c r="H37" s="313"/>
      <c r="I37" s="343" t="s">
        <v>61</v>
      </c>
      <c r="J37" s="754" t="s">
        <v>58</v>
      </c>
      <c r="K37" s="759">
        <f>K21-K4</f>
        <v>0.79999999999999716</v>
      </c>
      <c r="L37" s="760">
        <f t="shared" ref="L37:M37" si="17">L21-L4</f>
        <v>-12.5</v>
      </c>
      <c r="M37" s="798">
        <f t="shared" si="17"/>
        <v>-0.23000000000000043</v>
      </c>
    </row>
    <row r="38" spans="2:13">
      <c r="B38" s="322" t="s">
        <v>60</v>
      </c>
      <c r="C38" s="527" t="s">
        <v>59</v>
      </c>
      <c r="D38" s="761">
        <f t="shared" ref="D38:F45" si="18">D22-D5</f>
        <v>-0.5</v>
      </c>
      <c r="E38" s="762">
        <f t="shared" si="18"/>
        <v>-50</v>
      </c>
      <c r="F38" s="799">
        <f t="shared" si="18"/>
        <v>-0.64999999999999947</v>
      </c>
      <c r="G38" s="313"/>
      <c r="H38" s="313"/>
      <c r="I38" s="322" t="s">
        <v>61</v>
      </c>
      <c r="J38" s="527" t="s">
        <v>63</v>
      </c>
      <c r="K38" s="761">
        <f t="shared" ref="K38:M43" si="19">K22-K5</f>
        <v>0.20000000000000284</v>
      </c>
      <c r="L38" s="762">
        <f>L22-L5</f>
        <v>1.6000000000000227</v>
      </c>
      <c r="M38" s="799">
        <f t="shared" si="19"/>
        <v>9.9999999999997868E-3</v>
      </c>
    </row>
    <row r="39" spans="2:13">
      <c r="B39" s="322" t="s">
        <v>60</v>
      </c>
      <c r="C39" s="527" t="s">
        <v>62</v>
      </c>
      <c r="D39" s="761">
        <f t="shared" si="18"/>
        <v>1.5</v>
      </c>
      <c r="E39" s="762">
        <f t="shared" si="18"/>
        <v>10.800000000000011</v>
      </c>
      <c r="F39" s="799">
        <f t="shared" si="18"/>
        <v>3.0000000000000249E-2</v>
      </c>
      <c r="G39" s="313"/>
      <c r="H39" s="313"/>
      <c r="I39" s="322" t="s">
        <v>61</v>
      </c>
      <c r="J39" s="527" t="s">
        <v>65</v>
      </c>
      <c r="K39" s="761">
        <f t="shared" si="19"/>
        <v>2</v>
      </c>
      <c r="L39" s="762">
        <f t="shared" si="19"/>
        <v>-2.1000000000000227</v>
      </c>
      <c r="M39" s="799">
        <f t="shared" si="19"/>
        <v>-0.16000000000000014</v>
      </c>
    </row>
    <row r="40" spans="2:13">
      <c r="B40" s="322" t="s">
        <v>60</v>
      </c>
      <c r="C40" s="527" t="s">
        <v>64</v>
      </c>
      <c r="D40" s="761">
        <f t="shared" si="18"/>
        <v>1</v>
      </c>
      <c r="E40" s="762">
        <f t="shared" si="18"/>
        <v>9.5999999999999659</v>
      </c>
      <c r="F40" s="799">
        <f t="shared" si="18"/>
        <v>5.9999999999999609E-2</v>
      </c>
      <c r="G40" s="313"/>
      <c r="H40" s="313"/>
      <c r="I40" s="332" t="s">
        <v>61</v>
      </c>
      <c r="J40" s="527" t="s">
        <v>66</v>
      </c>
      <c r="K40" s="761">
        <f t="shared" si="19"/>
        <v>0.60000000000000853</v>
      </c>
      <c r="L40" s="762">
        <f t="shared" si="19"/>
        <v>0</v>
      </c>
      <c r="M40" s="799">
        <f t="shared" si="19"/>
        <v>-4.0000000000000036E-2</v>
      </c>
    </row>
    <row r="41" spans="2:13">
      <c r="B41" s="332" t="s">
        <v>60</v>
      </c>
      <c r="C41" s="527" t="s">
        <v>67</v>
      </c>
      <c r="D41" s="761">
        <f t="shared" si="18"/>
        <v>0.19999999999998863</v>
      </c>
      <c r="E41" s="762">
        <f t="shared" si="18"/>
        <v>-25</v>
      </c>
      <c r="F41" s="799">
        <f t="shared" si="18"/>
        <v>-0.34999999999999964</v>
      </c>
      <c r="G41" s="313"/>
      <c r="H41" s="313"/>
      <c r="I41" s="322" t="s">
        <v>61</v>
      </c>
      <c r="J41" s="527" t="s">
        <v>69</v>
      </c>
      <c r="K41" s="761">
        <f t="shared" si="19"/>
        <v>-0.5</v>
      </c>
      <c r="L41" s="762">
        <f t="shared" si="19"/>
        <v>37.5</v>
      </c>
      <c r="M41" s="799">
        <f t="shared" si="19"/>
        <v>0.5699999999999994</v>
      </c>
    </row>
    <row r="42" spans="2:13">
      <c r="B42" s="322" t="s">
        <v>60</v>
      </c>
      <c r="C42" s="527" t="s">
        <v>68</v>
      </c>
      <c r="D42" s="761">
        <f t="shared" si="18"/>
        <v>0.5</v>
      </c>
      <c r="E42" s="762">
        <f t="shared" si="18"/>
        <v>12.5</v>
      </c>
      <c r="F42" s="799">
        <f t="shared" si="18"/>
        <v>0.12999999999999989</v>
      </c>
      <c r="G42" s="313"/>
      <c r="H42" s="313"/>
      <c r="I42" s="322" t="s">
        <v>61</v>
      </c>
      <c r="J42" s="527" t="s">
        <v>70</v>
      </c>
      <c r="K42" s="761">
        <f t="shared" si="19"/>
        <v>0.89999999999999858</v>
      </c>
      <c r="L42" s="762">
        <f t="shared" si="19"/>
        <v>41.699999999999989</v>
      </c>
      <c r="M42" s="799">
        <f t="shared" si="19"/>
        <v>0.59999999999999964</v>
      </c>
    </row>
    <row r="43" spans="2:13" ht="16" thickBot="1">
      <c r="B43" s="322" t="s">
        <v>60</v>
      </c>
      <c r="C43" s="527" t="s">
        <v>71</v>
      </c>
      <c r="D43" s="761">
        <f t="shared" si="18"/>
        <v>0.90000000000000568</v>
      </c>
      <c r="E43" s="762">
        <f t="shared" si="18"/>
        <v>0</v>
      </c>
      <c r="F43" s="799">
        <f t="shared" si="18"/>
        <v>-7.0000000000000284E-2</v>
      </c>
      <c r="G43" s="313"/>
      <c r="H43" s="313"/>
      <c r="I43" s="333" t="s">
        <v>61</v>
      </c>
      <c r="J43" s="755" t="s">
        <v>74</v>
      </c>
      <c r="K43" s="763">
        <f t="shared" si="19"/>
        <v>-9.9999999999994316E-2</v>
      </c>
      <c r="L43" s="764">
        <f t="shared" si="19"/>
        <v>-25</v>
      </c>
      <c r="M43" s="800">
        <f t="shared" si="19"/>
        <v>-0.37000000000000011</v>
      </c>
    </row>
    <row r="44" spans="2:13">
      <c r="B44" s="322" t="s">
        <v>60</v>
      </c>
      <c r="C44" s="527" t="s">
        <v>72</v>
      </c>
      <c r="D44" s="761">
        <f t="shared" si="18"/>
        <v>1.0999999999999943</v>
      </c>
      <c r="E44" s="762">
        <f t="shared" si="18"/>
        <v>37.5</v>
      </c>
      <c r="F44" s="799">
        <f t="shared" si="18"/>
        <v>0.42999999999999972</v>
      </c>
      <c r="G44" s="313"/>
      <c r="H44" s="313"/>
      <c r="I44" s="313"/>
      <c r="J44" s="313"/>
      <c r="K44" s="313"/>
      <c r="L44" s="313"/>
      <c r="M44" s="313"/>
    </row>
    <row r="45" spans="2:13" ht="16" thickBot="1">
      <c r="B45" s="333" t="s">
        <v>60</v>
      </c>
      <c r="C45" s="755" t="s">
        <v>73</v>
      </c>
      <c r="D45" s="763">
        <f t="shared" si="18"/>
        <v>-0.5</v>
      </c>
      <c r="E45" s="764">
        <f t="shared" si="18"/>
        <v>0</v>
      </c>
      <c r="F45" s="800">
        <f t="shared" si="18"/>
        <v>4.9999999999999822E-2</v>
      </c>
      <c r="G45" s="313"/>
      <c r="H45" s="313"/>
      <c r="I45" s="313"/>
      <c r="J45" s="313"/>
      <c r="K45" s="313"/>
      <c r="L45" s="313"/>
      <c r="M45" s="313"/>
    </row>
    <row r="46" spans="2:13">
      <c r="B46" s="313"/>
      <c r="C46" s="334" t="s">
        <v>76</v>
      </c>
      <c r="D46" s="801">
        <f>AVERAGE(D37:D45)</f>
        <v>0.54444444444444351</v>
      </c>
      <c r="E46" s="801">
        <f t="shared" ref="E46" si="20">AVERAGE(E37:E45)</f>
        <v>-2.0333333333333283</v>
      </c>
      <c r="F46" s="801">
        <f t="shared" ref="F46" si="21">AVERAGE(F37:F45)</f>
        <v>-6.5555555555555534E-2</v>
      </c>
      <c r="G46" s="313"/>
      <c r="H46" s="313"/>
      <c r="I46" s="313"/>
      <c r="J46" s="334" t="s">
        <v>76</v>
      </c>
      <c r="K46" s="802">
        <f t="shared" ref="K46:M46" si="22">AVERAGE(K37:K43)</f>
        <v>0.55714285714285894</v>
      </c>
      <c r="L46" s="802">
        <f>AVERAGE(L37:L43)</f>
        <v>5.8857142857142843</v>
      </c>
      <c r="M46" s="802">
        <f t="shared" si="22"/>
        <v>5.4285714285714014E-2</v>
      </c>
    </row>
    <row r="47" spans="2:13">
      <c r="B47" s="313"/>
      <c r="C47" s="334" t="s">
        <v>13</v>
      </c>
      <c r="D47" s="801">
        <f>STDEVA(D37:D45)</f>
        <v>0.69661881813354609</v>
      </c>
      <c r="E47" s="801">
        <f t="shared" ref="E47:F47" si="23">STDEVA(E37:E45)</f>
        <v>25.116677726164337</v>
      </c>
      <c r="F47" s="801">
        <f t="shared" si="23"/>
        <v>0.30992382576655447</v>
      </c>
      <c r="G47" s="313"/>
      <c r="H47" s="313"/>
      <c r="I47" s="313"/>
      <c r="J47" s="334" t="s">
        <v>13</v>
      </c>
      <c r="K47" s="802">
        <f t="shared" ref="K47:M47" si="24">STDEVA(K37:K43)</f>
        <v>0.81005584757501392</v>
      </c>
      <c r="L47" s="802">
        <f t="shared" si="24"/>
        <v>24.802112045242474</v>
      </c>
      <c r="M47" s="802">
        <f t="shared" si="24"/>
        <v>0.38326914576474586</v>
      </c>
    </row>
    <row r="48" spans="2:13">
      <c r="B48" s="313"/>
      <c r="C48" s="334" t="s">
        <v>14</v>
      </c>
      <c r="D48" s="801">
        <f>D47/SQRT(COUNT(D37:D45))</f>
        <v>0.23220627271118202</v>
      </c>
      <c r="E48" s="801">
        <f t="shared" ref="E48" si="25">E47/SQRT(COUNT(E37:E45))</f>
        <v>8.372225908721445</v>
      </c>
      <c r="F48" s="801">
        <f t="shared" ref="F48" si="26">F47/SQRT(COUNT(F37:F45))</f>
        <v>0.10330794192218483</v>
      </c>
      <c r="G48" s="313"/>
      <c r="H48" s="313"/>
      <c r="I48" s="313"/>
      <c r="J48" s="334" t="s">
        <v>14</v>
      </c>
      <c r="K48" s="802">
        <f t="shared" ref="K48:M48" si="27">K47/SQRT(COUNT(K37:K43))</f>
        <v>0.30617233153673301</v>
      </c>
      <c r="L48" s="802">
        <f t="shared" si="27"/>
        <v>9.3743172086958779</v>
      </c>
      <c r="M48" s="802">
        <f t="shared" si="27"/>
        <v>0.14486212069966886</v>
      </c>
    </row>
    <row r="49" spans="2:13">
      <c r="B49" s="313"/>
      <c r="C49" s="338" t="s">
        <v>99</v>
      </c>
      <c r="D49" s="313"/>
      <c r="E49" s="313"/>
      <c r="F49" s="313"/>
      <c r="G49" s="313"/>
      <c r="H49" s="313"/>
      <c r="I49" s="313"/>
      <c r="J49" s="313"/>
      <c r="K49" s="313"/>
      <c r="L49" s="313"/>
      <c r="M49" s="313"/>
    </row>
    <row r="50" spans="2:13">
      <c r="B50" s="313"/>
      <c r="C50" s="334" t="s">
        <v>100</v>
      </c>
      <c r="D50" s="313"/>
      <c r="E50" s="313"/>
      <c r="F50" s="313"/>
      <c r="G50" s="313"/>
      <c r="H50" s="313"/>
      <c r="I50" s="313"/>
      <c r="J50" s="313"/>
      <c r="K50" s="313"/>
      <c r="L50" s="313"/>
      <c r="M50" s="313"/>
    </row>
    <row r="53" spans="2:13" ht="16" thickBot="1"/>
    <row r="54" spans="2:13">
      <c r="B54" s="1385" t="s">
        <v>177</v>
      </c>
      <c r="C54" s="1397"/>
      <c r="D54" s="803" t="s">
        <v>31</v>
      </c>
      <c r="E54" s="804" t="s">
        <v>16</v>
      </c>
      <c r="F54" s="805" t="s">
        <v>22</v>
      </c>
      <c r="G54" s="554"/>
      <c r="H54" s="554"/>
      <c r="I54" s="1385" t="s">
        <v>177</v>
      </c>
      <c r="J54" s="1397"/>
      <c r="K54" s="803" t="s">
        <v>31</v>
      </c>
      <c r="L54" s="804" t="s">
        <v>16</v>
      </c>
      <c r="M54" s="805" t="s">
        <v>22</v>
      </c>
    </row>
    <row r="55" spans="2:13" ht="16" thickBot="1">
      <c r="B55" s="1387"/>
      <c r="C55" s="1398"/>
      <c r="D55" s="809" t="s">
        <v>2</v>
      </c>
      <c r="E55" s="813" t="s">
        <v>3</v>
      </c>
      <c r="F55" s="814" t="s">
        <v>21</v>
      </c>
      <c r="G55" s="554"/>
      <c r="H55" s="554"/>
      <c r="I55" s="1387"/>
      <c r="J55" s="1398"/>
      <c r="K55" s="809" t="s">
        <v>2</v>
      </c>
      <c r="L55" s="813" t="s">
        <v>3</v>
      </c>
      <c r="M55" s="814" t="s">
        <v>21</v>
      </c>
    </row>
    <row r="56" spans="2:13">
      <c r="B56" s="565" t="s">
        <v>60</v>
      </c>
      <c r="C56" s="806" t="s">
        <v>57</v>
      </c>
      <c r="D56" s="807">
        <f>(D21-D4)/D4*100</f>
        <v>0.87719298245614397</v>
      </c>
      <c r="E56" s="816">
        <f t="shared" ref="E56:F56" si="28">(E21-E4)/E4*100</f>
        <v>-2.6560682435052216</v>
      </c>
      <c r="F56" s="817">
        <f t="shared" si="28"/>
        <v>-3.4055727554179529</v>
      </c>
      <c r="G56" s="554"/>
      <c r="H56" s="554"/>
      <c r="I56" s="567" t="s">
        <v>61</v>
      </c>
      <c r="J56" s="752" t="s">
        <v>58</v>
      </c>
      <c r="K56" s="807">
        <f>(K21-K4)/K4*100</f>
        <v>1.0810810810810774</v>
      </c>
      <c r="L56" s="816">
        <f t="shared" ref="L56:M56" si="29">(L21-L4)/L4*100</f>
        <v>-2.6499894000424002</v>
      </c>
      <c r="M56" s="817">
        <f t="shared" si="29"/>
        <v>-3.6106750392464741</v>
      </c>
    </row>
    <row r="57" spans="2:13">
      <c r="B57" s="565" t="s">
        <v>60</v>
      </c>
      <c r="C57" s="806" t="s">
        <v>59</v>
      </c>
      <c r="D57" s="808">
        <f t="shared" ref="D57:F64" si="30">(D22-D5)/D5*100</f>
        <v>-0.69348127600554788</v>
      </c>
      <c r="E57" s="815">
        <f t="shared" si="30"/>
        <v>-10</v>
      </c>
      <c r="F57" s="818">
        <f t="shared" si="30"/>
        <v>-9.379509379509372</v>
      </c>
      <c r="G57" s="554"/>
      <c r="H57" s="554"/>
      <c r="I57" s="565" t="s">
        <v>61</v>
      </c>
      <c r="J57" s="806" t="s">
        <v>63</v>
      </c>
      <c r="K57" s="808">
        <f t="shared" ref="K57:M62" si="31">(K22-K5)/K5*100</f>
        <v>0.27027027027027412</v>
      </c>
      <c r="L57" s="815">
        <f t="shared" si="31"/>
        <v>0.37278657968313672</v>
      </c>
      <c r="M57" s="818">
        <f t="shared" si="31"/>
        <v>0.1724137931034446</v>
      </c>
    </row>
    <row r="58" spans="2:13">
      <c r="B58" s="565" t="s">
        <v>60</v>
      </c>
      <c r="C58" s="806" t="s">
        <v>62</v>
      </c>
      <c r="D58" s="808">
        <f t="shared" si="30"/>
        <v>2.0604395604395602</v>
      </c>
      <c r="E58" s="815">
        <f t="shared" si="30"/>
        <v>2.6885735623599731</v>
      </c>
      <c r="F58" s="818">
        <f t="shared" si="30"/>
        <v>0.54347826086956985</v>
      </c>
      <c r="G58" s="554"/>
      <c r="H58" s="554"/>
      <c r="I58" s="565" t="s">
        <v>61</v>
      </c>
      <c r="J58" s="806" t="s">
        <v>65</v>
      </c>
      <c r="K58" s="808">
        <f t="shared" si="31"/>
        <v>2.3837902264600714</v>
      </c>
      <c r="L58" s="815">
        <f t="shared" si="31"/>
        <v>-0.42000000000000459</v>
      </c>
      <c r="M58" s="818">
        <f t="shared" si="31"/>
        <v>-2.6845637583892641</v>
      </c>
    </row>
    <row r="59" spans="2:13">
      <c r="B59" s="565" t="s">
        <v>60</v>
      </c>
      <c r="C59" s="806" t="s">
        <v>64</v>
      </c>
      <c r="D59" s="808">
        <f t="shared" si="30"/>
        <v>1.582278481012658</v>
      </c>
      <c r="E59" s="815">
        <f t="shared" si="30"/>
        <v>2.6243849097867593</v>
      </c>
      <c r="F59" s="818">
        <f t="shared" si="30"/>
        <v>1.0362694300518067</v>
      </c>
      <c r="G59" s="554"/>
      <c r="H59" s="554"/>
      <c r="I59" s="570" t="s">
        <v>61</v>
      </c>
      <c r="J59" s="806" t="s">
        <v>66</v>
      </c>
      <c r="K59" s="808">
        <f t="shared" si="31"/>
        <v>0.69930069930070926</v>
      </c>
      <c r="L59" s="815">
        <f t="shared" si="31"/>
        <v>0</v>
      </c>
      <c r="M59" s="818">
        <f t="shared" si="31"/>
        <v>-0.68610634648370561</v>
      </c>
    </row>
    <row r="60" spans="2:13">
      <c r="B60" s="570" t="s">
        <v>60</v>
      </c>
      <c r="C60" s="806" t="s">
        <v>67</v>
      </c>
      <c r="D60" s="808">
        <f t="shared" si="30"/>
        <v>0.27063599458726467</v>
      </c>
      <c r="E60" s="815">
        <f t="shared" si="30"/>
        <v>-5.8823529411764701</v>
      </c>
      <c r="F60" s="818">
        <f t="shared" si="30"/>
        <v>-6.0869565217391246</v>
      </c>
      <c r="G60" s="554"/>
      <c r="H60" s="554"/>
      <c r="I60" s="565" t="s">
        <v>61</v>
      </c>
      <c r="J60" s="806" t="s">
        <v>69</v>
      </c>
      <c r="K60" s="808">
        <f t="shared" si="31"/>
        <v>-0.70422535211267612</v>
      </c>
      <c r="L60" s="815">
        <f t="shared" si="31"/>
        <v>8.8235294117647065</v>
      </c>
      <c r="M60" s="818">
        <f t="shared" si="31"/>
        <v>9.5158597662771189</v>
      </c>
    </row>
    <row r="61" spans="2:13">
      <c r="B61" s="565" t="s">
        <v>60</v>
      </c>
      <c r="C61" s="806" t="s">
        <v>68</v>
      </c>
      <c r="D61" s="808">
        <f t="shared" si="30"/>
        <v>0.65703022339027606</v>
      </c>
      <c r="E61" s="815">
        <f t="shared" si="30"/>
        <v>2.9411764705882351</v>
      </c>
      <c r="F61" s="818">
        <f t="shared" si="30"/>
        <v>2.3297491039426506</v>
      </c>
      <c r="G61" s="554"/>
      <c r="H61" s="554"/>
      <c r="I61" s="565" t="s">
        <v>61</v>
      </c>
      <c r="J61" s="806" t="s">
        <v>70</v>
      </c>
      <c r="K61" s="808">
        <f t="shared" si="31"/>
        <v>1.4754098360655714</v>
      </c>
      <c r="L61" s="815">
        <f t="shared" si="31"/>
        <v>12.355555555555551</v>
      </c>
      <c r="M61" s="818">
        <f t="shared" si="31"/>
        <v>10.849909584086792</v>
      </c>
    </row>
    <row r="62" spans="2:13" ht="16" thickBot="1">
      <c r="B62" s="565" t="s">
        <v>60</v>
      </c>
      <c r="C62" s="806" t="s">
        <v>71</v>
      </c>
      <c r="D62" s="808">
        <f t="shared" si="30"/>
        <v>1.1523687580025681</v>
      </c>
      <c r="E62" s="815">
        <f t="shared" si="30"/>
        <v>0</v>
      </c>
      <c r="F62" s="818">
        <f t="shared" si="30"/>
        <v>-1.1513157894736887</v>
      </c>
      <c r="G62" s="554"/>
      <c r="H62" s="554"/>
      <c r="I62" s="571" t="s">
        <v>61</v>
      </c>
      <c r="J62" s="753" t="s">
        <v>74</v>
      </c>
      <c r="K62" s="810">
        <f t="shared" si="31"/>
        <v>-0.15243902439023527</v>
      </c>
      <c r="L62" s="819">
        <f t="shared" si="31"/>
        <v>-6.0606060606060606</v>
      </c>
      <c r="M62" s="820">
        <f t="shared" si="31"/>
        <v>-5.8823529411764728</v>
      </c>
    </row>
    <row r="63" spans="2:13">
      <c r="B63" s="565" t="s">
        <v>60</v>
      </c>
      <c r="C63" s="806" t="s">
        <v>72</v>
      </c>
      <c r="D63" s="808">
        <f t="shared" si="30"/>
        <v>1.551480959097312</v>
      </c>
      <c r="E63" s="815">
        <f t="shared" si="30"/>
        <v>8.8235294117647065</v>
      </c>
      <c r="F63" s="818">
        <f t="shared" si="30"/>
        <v>7.1786310517529168</v>
      </c>
      <c r="G63" s="554"/>
      <c r="H63" s="554"/>
      <c r="I63" s="554"/>
      <c r="J63" s="554"/>
      <c r="K63" s="554"/>
      <c r="L63" s="554"/>
      <c r="M63" s="554"/>
    </row>
    <row r="64" spans="2:13" ht="16" thickBot="1">
      <c r="B64" s="571" t="s">
        <v>60</v>
      </c>
      <c r="C64" s="753" t="s">
        <v>73</v>
      </c>
      <c r="D64" s="810">
        <f t="shared" si="30"/>
        <v>-0.70126227208976166</v>
      </c>
      <c r="E64" s="819">
        <f t="shared" si="30"/>
        <v>0</v>
      </c>
      <c r="F64" s="820">
        <f t="shared" si="30"/>
        <v>0.80385852090031873</v>
      </c>
      <c r="G64" s="554"/>
      <c r="H64" s="554"/>
      <c r="I64" s="554"/>
      <c r="J64" s="554"/>
      <c r="K64" s="554"/>
      <c r="L64" s="554"/>
      <c r="M64" s="554"/>
    </row>
    <row r="65" spans="2:13">
      <c r="B65" s="554"/>
      <c r="C65" s="572" t="s">
        <v>76</v>
      </c>
      <c r="D65" s="811">
        <f>AVERAGE(D56:D64)</f>
        <v>0.75074260121005254</v>
      </c>
      <c r="E65" s="811">
        <f>AVERAGE(E56:E64)</f>
        <v>-0.16230631446466859</v>
      </c>
      <c r="F65" s="811">
        <f t="shared" ref="F65" si="32">AVERAGE(F56:F64)</f>
        <v>-0.90348534206920883</v>
      </c>
      <c r="G65" s="554"/>
      <c r="H65" s="554"/>
      <c r="I65" s="554"/>
      <c r="J65" s="572" t="s">
        <v>76</v>
      </c>
      <c r="K65" s="812">
        <f t="shared" ref="K65" si="33">AVERAGE(K56:K62)</f>
        <v>0.72188396238211328</v>
      </c>
      <c r="L65" s="812">
        <f>AVERAGE(L56:L62)</f>
        <v>1.7744680123364183</v>
      </c>
      <c r="M65" s="812">
        <f>AVERAGE(M56:M62)</f>
        <v>1.0963550083102056</v>
      </c>
    </row>
    <row r="66" spans="2:13">
      <c r="B66" s="554"/>
      <c r="C66" s="572" t="s">
        <v>13</v>
      </c>
      <c r="D66" s="811">
        <f>STDEVA(D56:D64)</f>
        <v>0.97843103704533396</v>
      </c>
      <c r="E66" s="811">
        <f t="shared" ref="E66:F66" si="34">STDEVA(E56:E64)</f>
        <v>5.5004624674617659</v>
      </c>
      <c r="F66" s="811">
        <f t="shared" si="34"/>
        <v>4.8679950185524596</v>
      </c>
      <c r="G66" s="554"/>
      <c r="H66" s="554"/>
      <c r="I66" s="554"/>
      <c r="J66" s="572" t="s">
        <v>13</v>
      </c>
      <c r="K66" s="812">
        <f t="shared" ref="K66:M66" si="35">STDEVA(K56:K62)</f>
        <v>1.0377419104105494</v>
      </c>
      <c r="L66" s="812">
        <f t="shared" si="35"/>
        <v>6.4877066666535335</v>
      </c>
      <c r="M66" s="812">
        <f t="shared" si="35"/>
        <v>6.5218168010120925</v>
      </c>
    </row>
    <row r="67" spans="2:13">
      <c r="B67" s="554"/>
      <c r="C67" s="572" t="s">
        <v>14</v>
      </c>
      <c r="D67" s="811">
        <f>D66/SQRT(COUNT(D56:D64))</f>
        <v>0.32614367901511132</v>
      </c>
      <c r="E67" s="811">
        <f t="shared" ref="E67" si="36">E66/SQRT(COUNT(E56:E64))</f>
        <v>1.8334874891539219</v>
      </c>
      <c r="F67" s="811">
        <f t="shared" ref="F67" si="37">F66/SQRT(COUNT(F56:F64))</f>
        <v>1.6226650061841532</v>
      </c>
      <c r="G67" s="554"/>
      <c r="H67" s="554"/>
      <c r="I67" s="554"/>
      <c r="J67" s="572" t="s">
        <v>14</v>
      </c>
      <c r="K67" s="812">
        <f t="shared" ref="K67:M67" si="38">K66/SQRT(COUNT(K56:K62))</f>
        <v>0.392229574287912</v>
      </c>
      <c r="L67" s="812">
        <f t="shared" si="38"/>
        <v>2.4521226313001527</v>
      </c>
      <c r="M67" s="812">
        <f t="shared" si="38"/>
        <v>2.4650150502572594</v>
      </c>
    </row>
    <row r="68" spans="2:13">
      <c r="B68" s="554"/>
      <c r="C68" s="701" t="s">
        <v>99</v>
      </c>
      <c r="D68" s="554"/>
      <c r="E68" s="554"/>
      <c r="F68" s="554"/>
      <c r="G68" s="554"/>
      <c r="H68" s="554"/>
      <c r="I68" s="554"/>
      <c r="J68" s="554"/>
      <c r="K68" s="554"/>
      <c r="L68" s="554"/>
      <c r="M68" s="554"/>
    </row>
  </sheetData>
  <mergeCells count="8">
    <mergeCell ref="B54:C55"/>
    <mergeCell ref="I54:J55"/>
    <mergeCell ref="B2:C3"/>
    <mergeCell ref="B19:C20"/>
    <mergeCell ref="I2:J3"/>
    <mergeCell ref="I19:J20"/>
    <mergeCell ref="B35:C36"/>
    <mergeCell ref="I35:J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zoomScale="86" zoomScaleNormal="120" workbookViewId="0">
      <selection activeCell="S16" sqref="S16"/>
    </sheetView>
  </sheetViews>
  <sheetFormatPr baseColWidth="10" defaultRowHeight="15.5"/>
  <sheetData>
    <row r="1" spans="2:26" ht="16" thickBot="1">
      <c r="Q1" t="s">
        <v>121</v>
      </c>
    </row>
    <row r="2" spans="2:26" ht="16" thickBot="1">
      <c r="B2" s="1331" t="s">
        <v>47</v>
      </c>
      <c r="C2" s="1332"/>
      <c r="D2" s="190"/>
      <c r="K2" s="1331" t="s">
        <v>47</v>
      </c>
      <c r="L2" s="1332"/>
      <c r="M2" s="190"/>
    </row>
    <row r="3" spans="2:26" ht="16" thickBot="1">
      <c r="B3" s="1344" t="s">
        <v>77</v>
      </c>
      <c r="C3" s="1391"/>
      <c r="D3" s="534" t="s">
        <v>31</v>
      </c>
      <c r="E3" s="196" t="s">
        <v>124</v>
      </c>
      <c r="F3" s="196" t="s">
        <v>211</v>
      </c>
      <c r="G3" s="196" t="s">
        <v>134</v>
      </c>
      <c r="H3" s="205" t="s">
        <v>108</v>
      </c>
      <c r="I3" s="196" t="s">
        <v>109</v>
      </c>
      <c r="K3" s="1344" t="s">
        <v>77</v>
      </c>
      <c r="L3" s="1391"/>
      <c r="M3" s="534" t="s">
        <v>31</v>
      </c>
      <c r="N3" s="149" t="s">
        <v>124</v>
      </c>
      <c r="O3" s="149" t="s">
        <v>211</v>
      </c>
      <c r="P3" s="196" t="s">
        <v>134</v>
      </c>
      <c r="Q3" s="196" t="s">
        <v>108</v>
      </c>
      <c r="R3" s="197" t="s">
        <v>109</v>
      </c>
      <c r="S3" s="207"/>
      <c r="T3" s="208" t="s">
        <v>146</v>
      </c>
      <c r="U3" s="209"/>
      <c r="V3" s="209"/>
      <c r="W3" s="209"/>
      <c r="X3" s="209"/>
      <c r="Y3" s="209"/>
      <c r="Z3" s="209"/>
    </row>
    <row r="4" spans="2:26" ht="16" thickBot="1">
      <c r="B4" s="1336"/>
      <c r="C4" s="1392"/>
      <c r="D4" s="702" t="s">
        <v>2</v>
      </c>
      <c r="E4" s="213" t="s">
        <v>20</v>
      </c>
      <c r="F4" s="213" t="s">
        <v>210</v>
      </c>
      <c r="G4" s="430" t="s">
        <v>145</v>
      </c>
      <c r="H4" s="426" t="s">
        <v>145</v>
      </c>
      <c r="I4" s="430" t="s">
        <v>36</v>
      </c>
      <c r="K4" s="1336"/>
      <c r="L4" s="1403"/>
      <c r="M4" s="702" t="s">
        <v>2</v>
      </c>
      <c r="N4" s="177" t="s">
        <v>20</v>
      </c>
      <c r="O4" s="177" t="s">
        <v>210</v>
      </c>
      <c r="P4" s="430" t="s">
        <v>145</v>
      </c>
      <c r="Q4" s="713" t="s">
        <v>145</v>
      </c>
      <c r="R4" s="714" t="s">
        <v>36</v>
      </c>
    </row>
    <row r="5" spans="2:26" ht="16" thickBot="1">
      <c r="B5" s="32" t="s">
        <v>60</v>
      </c>
      <c r="C5" s="133" t="s">
        <v>57</v>
      </c>
      <c r="D5" s="171">
        <v>79.8</v>
      </c>
      <c r="E5" s="160">
        <f>'[1]Lode 60+20min'!$H$3</f>
        <v>378.96293834136611</v>
      </c>
      <c r="F5" s="160">
        <f>E5/D5</f>
        <v>4.748909001771505</v>
      </c>
      <c r="G5" s="163">
        <f>'[1]VO2 60+20min'!$K$9</f>
        <v>5307.5581395348836</v>
      </c>
      <c r="H5" s="152">
        <f>'[1]VO2 60+20min'!$M$9</f>
        <v>0.92883720930232572</v>
      </c>
      <c r="I5" s="160">
        <f>E5/((G5/60000)*(4840*H5+16890))*100</f>
        <v>20.032371085115518</v>
      </c>
      <c r="K5" s="89" t="s">
        <v>61</v>
      </c>
      <c r="L5" s="715" t="s">
        <v>58</v>
      </c>
      <c r="M5" s="171">
        <v>74</v>
      </c>
      <c r="N5" s="160">
        <f>'[2]Lode 60+20min'!$H$3</f>
        <v>295.62398272712176</v>
      </c>
      <c r="O5" s="160">
        <f>N5/M5</f>
        <v>3.9949186855016454</v>
      </c>
      <c r="P5" s="163">
        <f>'[2]VO2 60+20min'!$K$16</f>
        <v>4309.8</v>
      </c>
      <c r="Q5" s="152">
        <f>'[2]VO2 60+20min'!$M$15</f>
        <v>0.9259090909090909</v>
      </c>
      <c r="R5" s="160">
        <f t="shared" ref="R5:R11" si="0">N5/((P5/60000)*(4840*Q5+16890))*100</f>
        <v>19.257540695352333</v>
      </c>
    </row>
    <row r="6" spans="2:26" ht="16" thickBot="1">
      <c r="B6" s="32" t="s">
        <v>60</v>
      </c>
      <c r="C6" s="134" t="s">
        <v>59</v>
      </c>
      <c r="D6" s="171">
        <v>72.099999999999994</v>
      </c>
      <c r="E6" s="160">
        <f>'[3]Lode 60+20min'!$H$3</f>
        <v>355.03807781842369</v>
      </c>
      <c r="F6" s="160">
        <f t="shared" ref="F6:F13" si="1">E6/D6</f>
        <v>4.9242451847215492</v>
      </c>
      <c r="G6" s="163">
        <f>'[3]VO2 60+20min'!$K$9</f>
        <v>4984.708333333333</v>
      </c>
      <c r="H6" s="152">
        <f>'[3]VO2 60+20min'!$M$9</f>
        <v>0.9195833333333332</v>
      </c>
      <c r="I6" s="160">
        <f>E6/((G6/60000)*(4840*H6+16890))*100</f>
        <v>20.02516372779737</v>
      </c>
      <c r="K6" s="32" t="s">
        <v>61</v>
      </c>
      <c r="L6" s="715" t="s">
        <v>63</v>
      </c>
      <c r="M6" s="171">
        <v>74</v>
      </c>
      <c r="N6" s="160">
        <f>'[4]Lode 60+20min'!$H$3</f>
        <v>236.23523556735236</v>
      </c>
      <c r="O6" s="160">
        <f t="shared" ref="O6:O11" si="2">N6/M6</f>
        <v>3.1923680482074643</v>
      </c>
      <c r="P6" s="163">
        <f>'[4]VO2 60+20min'!$K$8</f>
        <v>3539.3958333333335</v>
      </c>
      <c r="Q6" s="152">
        <f>'[4]VO2 60+20min'!$L$8</f>
        <v>0.83541666666666659</v>
      </c>
      <c r="R6" s="160">
        <f t="shared" si="0"/>
        <v>19.130515474814494</v>
      </c>
    </row>
    <row r="7" spans="2:26" ht="16" thickBot="1">
      <c r="B7" s="32" t="s">
        <v>60</v>
      </c>
      <c r="C7" s="133" t="s">
        <v>62</v>
      </c>
      <c r="D7" s="268">
        <v>72.8</v>
      </c>
      <c r="E7" s="160">
        <f>'[5]Lode 60+20min'!$H$3</f>
        <v>258.71799567171632</v>
      </c>
      <c r="F7" s="160">
        <f t="shared" si="1"/>
        <v>3.5538186218642354</v>
      </c>
      <c r="G7" s="163">
        <f>'[5]VO2 60+20min 29.09'!$K$9</f>
        <v>3673.4583333333335</v>
      </c>
      <c r="H7" s="152">
        <f>'[5]VO2 60+20min 29.09'!$L$9</f>
        <v>0.89270833333333355</v>
      </c>
      <c r="I7" s="160">
        <f>E7/((G7/60000)*(4840*H7+16890))*100</f>
        <v>19.922672607516368</v>
      </c>
      <c r="K7" s="32" t="s">
        <v>61</v>
      </c>
      <c r="L7" s="715" t="s">
        <v>65</v>
      </c>
      <c r="M7" s="171">
        <v>83.9</v>
      </c>
      <c r="N7" s="160">
        <f>'[6]Lode 60+20min'!$H$3</f>
        <v>370.91231311943557</v>
      </c>
      <c r="O7" s="160">
        <f t="shared" si="2"/>
        <v>4.4208857344390413</v>
      </c>
      <c r="P7" s="163">
        <f>'[6]VO2 60+20min'!$K$8</f>
        <v>5218.979166666667</v>
      </c>
      <c r="Q7" s="152">
        <f>'[6]VO2 60+20min'!$L$8</f>
        <v>0.9085416666666668</v>
      </c>
      <c r="R7" s="160">
        <f t="shared" si="0"/>
        <v>20.031593900775707</v>
      </c>
    </row>
    <row r="8" spans="2:26" ht="16" thickBot="1">
      <c r="B8" s="32" t="s">
        <v>60</v>
      </c>
      <c r="C8" s="133" t="s">
        <v>64</v>
      </c>
      <c r="D8" s="171">
        <v>63.2</v>
      </c>
      <c r="E8" s="160">
        <f>'[7]Lode 60+20min'!$H$3</f>
        <v>250.53271934076588</v>
      </c>
      <c r="F8" s="160">
        <f t="shared" si="1"/>
        <v>3.9641253060247763</v>
      </c>
      <c r="G8" s="163">
        <f>'[7]VO2 60+20min'!$K$9</f>
        <v>3496.7916666666665</v>
      </c>
      <c r="H8" s="152">
        <f>'[7]VO2 60+20min'!$L$9</f>
        <v>0.94479166666666659</v>
      </c>
      <c r="I8" s="160">
        <f>E8/((G8/60000)*(4840*H8+16890))*100</f>
        <v>20.029021568775899</v>
      </c>
      <c r="K8" s="33" t="s">
        <v>61</v>
      </c>
      <c r="L8" s="715" t="s">
        <v>66</v>
      </c>
      <c r="M8" s="171">
        <v>85.8</v>
      </c>
      <c r="N8" s="160">
        <f>'[8]Lode 60+20min'!$H$3</f>
        <v>334.50275321208073</v>
      </c>
      <c r="O8" s="160">
        <f t="shared" si="2"/>
        <v>3.8986334873202884</v>
      </c>
      <c r="P8" s="163">
        <f>'[8]VO2 60+20min'!$K$8</f>
        <v>4946.8125</v>
      </c>
      <c r="Q8" s="152">
        <f>'[8]VO2 60+20min'!$L$8</f>
        <v>0.87374999999999992</v>
      </c>
      <c r="R8" s="160">
        <f t="shared" si="0"/>
        <v>19.211141710133141</v>
      </c>
    </row>
    <row r="9" spans="2:26" ht="16" thickBot="1">
      <c r="B9" s="33" t="s">
        <v>60</v>
      </c>
      <c r="C9" s="133" t="s">
        <v>67</v>
      </c>
      <c r="D9" s="171">
        <v>73.900000000000006</v>
      </c>
      <c r="E9" s="160">
        <f>'[9]Lode 60+20min'!$H$3</f>
        <v>296.80736735383573</v>
      </c>
      <c r="F9" s="160">
        <f t="shared" si="1"/>
        <v>4.0163378532318772</v>
      </c>
      <c r="G9" s="717"/>
      <c r="H9" s="717"/>
      <c r="I9" s="717"/>
      <c r="J9" s="214" t="s">
        <v>112</v>
      </c>
      <c r="K9" s="32" t="s">
        <v>61</v>
      </c>
      <c r="L9" s="715" t="s">
        <v>69</v>
      </c>
      <c r="M9" s="171">
        <v>71</v>
      </c>
      <c r="N9" s="160">
        <f>'[10]Lode 60+20min'!$H$3</f>
        <v>336.47541528239202</v>
      </c>
      <c r="O9" s="160">
        <f t="shared" si="2"/>
        <v>4.7390903560900286</v>
      </c>
      <c r="P9" s="163">
        <f>'[10]VO2 60+20min'!$K$17</f>
        <v>4508.7983333333332</v>
      </c>
      <c r="Q9" s="152">
        <f>'[10]VO2 60+20min'!$L$13</f>
        <v>0.89291666666666636</v>
      </c>
      <c r="R9" s="160">
        <f t="shared" si="0"/>
        <v>21.109014579921663</v>
      </c>
    </row>
    <row r="10" spans="2:26" ht="16" thickBot="1">
      <c r="B10" s="32" t="s">
        <v>60</v>
      </c>
      <c r="C10" s="133" t="s">
        <v>68</v>
      </c>
      <c r="D10" s="171">
        <v>76.099999999999994</v>
      </c>
      <c r="E10" s="160">
        <f>'[11]Lode 60+20min'!$H$3</f>
        <v>291.83761817880247</v>
      </c>
      <c r="F10" s="160">
        <f t="shared" si="1"/>
        <v>3.8349227093140934</v>
      </c>
      <c r="G10" s="163">
        <f>'[11]VO2 60+20min'!$K$10</f>
        <v>4335.229166666667</v>
      </c>
      <c r="H10" s="152">
        <f>'[11]VO2 60+20min'!$L$10</f>
        <v>0.90729166666666627</v>
      </c>
      <c r="I10" s="160">
        <f>E10/((G10/60000)*(4840*H10+16890))*100</f>
        <v>18.979399997285608</v>
      </c>
      <c r="K10" s="32" t="s">
        <v>61</v>
      </c>
      <c r="L10" s="715" t="s">
        <v>70</v>
      </c>
      <c r="M10" s="171">
        <v>61</v>
      </c>
      <c r="N10" s="160">
        <f>'[13]Lode 60+20min'!$H$3</f>
        <v>264.23488255872064</v>
      </c>
      <c r="O10" s="160">
        <f t="shared" si="2"/>
        <v>4.331719386208535</v>
      </c>
      <c r="P10" s="718">
        <f>'[13]VO2 60+20min'!$K$15</f>
        <v>3975.2061111111111</v>
      </c>
      <c r="Q10" s="152">
        <f>'[13]VO2 60+20min'!$L$14</f>
        <v>0.86916666666666698</v>
      </c>
      <c r="R10" s="160">
        <f t="shared" si="0"/>
        <v>18.904528464739251</v>
      </c>
      <c r="S10" t="s">
        <v>118</v>
      </c>
    </row>
    <row r="11" spans="2:26" ht="16" thickBot="1">
      <c r="B11" s="32" t="s">
        <v>60</v>
      </c>
      <c r="C11" s="133" t="s">
        <v>71</v>
      </c>
      <c r="D11" s="171">
        <v>78.099999999999994</v>
      </c>
      <c r="E11" s="160">
        <f>'[14]Lode 60+20min'!$H$3</f>
        <v>322.98811317595846</v>
      </c>
      <c r="F11" s="160">
        <f t="shared" si="1"/>
        <v>4.1355712314463311</v>
      </c>
      <c r="G11" s="163">
        <f>'[14]VO2 60+20min'!$K$16</f>
        <v>4625.4035294117657</v>
      </c>
      <c r="H11" s="152">
        <f>'[14]VO2 60+20min'!$L$15</f>
        <v>0.88235294117647045</v>
      </c>
      <c r="I11" s="160">
        <f>E11/((G11/60000)*(4840*H11+16890))*100</f>
        <v>19.7997827951136</v>
      </c>
      <c r="K11" s="53" t="s">
        <v>61</v>
      </c>
      <c r="L11" s="715" t="s">
        <v>74</v>
      </c>
      <c r="M11" s="171">
        <v>65.599999999999994</v>
      </c>
      <c r="N11" s="160">
        <f>'[15]Lode 60+20min'!$H$3</f>
        <v>236.20369445831253</v>
      </c>
      <c r="O11" s="160">
        <f t="shared" si="2"/>
        <v>3.6006660740596423</v>
      </c>
      <c r="P11" s="163">
        <f>'[15]VO2 60+20min'!$K$14</f>
        <v>3834.1525000000001</v>
      </c>
      <c r="Q11" s="152">
        <f>'[15]VO2 60+20min'!$L$13</f>
        <v>0.83395833333333325</v>
      </c>
      <c r="R11" s="160">
        <f t="shared" si="0"/>
        <v>17.663424089406835</v>
      </c>
      <c r="W11" s="822"/>
    </row>
    <row r="12" spans="2:26" ht="16" thickBot="1">
      <c r="B12" s="32" t="s">
        <v>60</v>
      </c>
      <c r="C12" s="133" t="s">
        <v>72</v>
      </c>
      <c r="D12" s="171">
        <v>70.900000000000006</v>
      </c>
      <c r="E12" s="160">
        <f>'[16]Lode 60+20min'!$H$3</f>
        <v>286.03661971830985</v>
      </c>
      <c r="F12" s="160">
        <f t="shared" si="1"/>
        <v>4.0343669917956255</v>
      </c>
      <c r="G12" s="163">
        <f>'[16]VO2 60+20min'!$K$14</f>
        <v>4257.999615384615</v>
      </c>
      <c r="H12" s="152">
        <f>'[16]VO2 60+20min'!$L$13</f>
        <v>0.84365384615384609</v>
      </c>
      <c r="I12" s="160">
        <f>E12/((G12/60000)*(4840*H12+16890))*100</f>
        <v>19.217673876353693</v>
      </c>
      <c r="L12" s="16" t="s">
        <v>76</v>
      </c>
      <c r="M12" s="179">
        <f>AVERAGE(M5:M11)</f>
        <v>73.614285714285714</v>
      </c>
      <c r="N12" s="179">
        <f>AVERAGE(N5:N11)</f>
        <v>296.31261098934505</v>
      </c>
      <c r="O12" s="179">
        <f>AVERAGE(O5:O11)</f>
        <v>4.025468824546663</v>
      </c>
      <c r="P12" s="179">
        <f t="shared" ref="P12:R12" si="3">AVERAGE(P5:P11)</f>
        <v>4333.3063492063493</v>
      </c>
      <c r="Q12" s="179">
        <f t="shared" si="3"/>
        <v>0.87709415584415573</v>
      </c>
      <c r="R12" s="179">
        <f t="shared" si="3"/>
        <v>19.32967984502049</v>
      </c>
    </row>
    <row r="13" spans="2:26" ht="16" thickBot="1">
      <c r="B13" s="53" t="s">
        <v>60</v>
      </c>
      <c r="C13" s="133" t="s">
        <v>73</v>
      </c>
      <c r="D13" s="171">
        <v>71.3</v>
      </c>
      <c r="E13" s="160">
        <f>'[17]Lode 60+20min'!$H$3</f>
        <v>281.83803050397876</v>
      </c>
      <c r="F13" s="160">
        <f t="shared" si="1"/>
        <v>3.9528475526504736</v>
      </c>
      <c r="G13" s="163">
        <f>'[17]VO2 60+20min'!$K$19</f>
        <v>4247.7733333333335</v>
      </c>
      <c r="H13" s="152">
        <f>'[17]VO2 60+20min'!$L$18</f>
        <v>0.87979166666666664</v>
      </c>
      <c r="I13" s="160">
        <f>E13/((G13/60000)*(4840*H13+16890))*100</f>
        <v>18.824188961955656</v>
      </c>
      <c r="L13" s="16" t="s">
        <v>13</v>
      </c>
      <c r="M13" s="179">
        <f>STDEVA(M5:M11)</f>
        <v>8.9885906517519594</v>
      </c>
      <c r="N13" s="179">
        <f t="shared" ref="N13:R13" si="4">STDEVA(N5:N11)</f>
        <v>53.054187902330689</v>
      </c>
      <c r="O13" s="179">
        <f t="shared" si="4"/>
        <v>0.52455289271795869</v>
      </c>
      <c r="P13" s="179">
        <f t="shared" si="4"/>
        <v>605.50810268604653</v>
      </c>
      <c r="Q13" s="179">
        <f t="shared" si="4"/>
        <v>3.4866259769411177E-2</v>
      </c>
      <c r="R13" s="179">
        <f t="shared" si="4"/>
        <v>1.0547352884697505</v>
      </c>
    </row>
    <row r="14" spans="2:26">
      <c r="C14" s="16" t="s">
        <v>76</v>
      </c>
      <c r="D14" s="179">
        <f>AVERAGE(D5:D13)</f>
        <v>73.133333333333326</v>
      </c>
      <c r="E14" s="179">
        <f>AVERAGE(E5:E13)</f>
        <v>302.52883112257302</v>
      </c>
      <c r="F14" s="179">
        <f>AVERAGE(F5:F13)</f>
        <v>4.1294604947578293</v>
      </c>
      <c r="G14" s="179">
        <f>AVERAGE(G5:G8,G10:G13)</f>
        <v>4366.1152647080744</v>
      </c>
      <c r="H14" s="179">
        <f t="shared" ref="H14:I14" si="5">AVERAGE(H5:H8,H10:H13)</f>
        <v>0.89987633291241365</v>
      </c>
      <c r="I14" s="179">
        <f t="shared" si="5"/>
        <v>19.603784327489215</v>
      </c>
      <c r="L14" s="16" t="s">
        <v>14</v>
      </c>
      <c r="M14" s="179">
        <f>M13/SQRT(COUNT(M5:M11))</f>
        <v>3.3973679287850955</v>
      </c>
      <c r="N14" s="179">
        <f t="shared" ref="N14:R14" si="6">N13/SQRT(COUNT(N5:N11))</f>
        <v>20.052598171436937</v>
      </c>
      <c r="O14" s="179">
        <f t="shared" si="6"/>
        <v>0.19826235766160896</v>
      </c>
      <c r="P14" s="179">
        <f t="shared" si="6"/>
        <v>228.8605509345486</v>
      </c>
      <c r="Q14" s="179">
        <f t="shared" si="6"/>
        <v>1.3178207499548315E-2</v>
      </c>
      <c r="R14" s="179">
        <f t="shared" si="6"/>
        <v>0.39865246747070449</v>
      </c>
    </row>
    <row r="15" spans="2:26">
      <c r="C15" s="16" t="s">
        <v>13</v>
      </c>
      <c r="D15" s="179">
        <f>STDEVA(D5:D13)</f>
        <v>4.8308901871187233</v>
      </c>
      <c r="E15" s="179">
        <f>STDEVA(E5:E13)</f>
        <v>42.555993040750728</v>
      </c>
      <c r="F15" s="179">
        <f>STDEVA(F5:F13)</f>
        <v>0.43501723134150988</v>
      </c>
      <c r="G15" s="179">
        <f>STDEVA(G5:G8,G10:G13)</f>
        <v>609.25567884356599</v>
      </c>
      <c r="H15" s="179">
        <f t="shared" ref="H15:I15" si="7">STDEVA(H5:H8,H10:H13)</f>
        <v>3.2120940920265149E-2</v>
      </c>
      <c r="I15" s="179">
        <f t="shared" si="7"/>
        <v>0.51114508142920323</v>
      </c>
      <c r="L15" s="16" t="s">
        <v>99</v>
      </c>
      <c r="O15" s="821">
        <f>(O31-O12)/O13</f>
        <v>-0.16286750043647216</v>
      </c>
    </row>
    <row r="16" spans="2:26">
      <c r="C16" s="16" t="s">
        <v>14</v>
      </c>
      <c r="D16" s="179">
        <f>D15/SQRT(COUNT(D5:D13))</f>
        <v>1.6102967290395744</v>
      </c>
      <c r="E16" s="179">
        <f>E15/SQRT(COUNT(E5:E13))</f>
        <v>14.185331013583577</v>
      </c>
      <c r="F16" s="179">
        <f>F15/SQRT(COUNT(F5:F13))</f>
        <v>0.14500574378050329</v>
      </c>
      <c r="G16" s="179">
        <f t="shared" ref="G16:I16" si="8">G15/SQRT(COUNT(G5:G13))</f>
        <v>215.40441099334942</v>
      </c>
      <c r="H16" s="179">
        <f t="shared" si="8"/>
        <v>1.1356467571405973E-2</v>
      </c>
      <c r="I16" s="179">
        <f t="shared" si="8"/>
        <v>0.18071707662436981</v>
      </c>
    </row>
    <row r="17" spans="2:21">
      <c r="C17" s="16" t="s">
        <v>99</v>
      </c>
      <c r="F17" s="821">
        <f>(F33-F14)/F15</f>
        <v>-0.34219216953081172</v>
      </c>
      <c r="K17" t="s">
        <v>148</v>
      </c>
    </row>
    <row r="18" spans="2:21">
      <c r="B18" t="s">
        <v>147</v>
      </c>
    </row>
    <row r="20" spans="2:21" ht="16" thickBot="1"/>
    <row r="21" spans="2:21" ht="16" thickBot="1">
      <c r="B21" s="1331" t="s">
        <v>50</v>
      </c>
      <c r="C21" s="1332"/>
      <c r="D21" s="190"/>
      <c r="K21" s="188" t="s">
        <v>50</v>
      </c>
      <c r="L21" s="189"/>
      <c r="M21" s="190"/>
    </row>
    <row r="22" spans="2:21" ht="16" thickBot="1">
      <c r="B22" s="1344" t="s">
        <v>77</v>
      </c>
      <c r="C22" s="1391"/>
      <c r="D22" s="704" t="s">
        <v>31</v>
      </c>
      <c r="E22" s="149" t="s">
        <v>124</v>
      </c>
      <c r="F22" s="149" t="s">
        <v>211</v>
      </c>
      <c r="G22" s="196" t="s">
        <v>134</v>
      </c>
      <c r="H22" s="196" t="s">
        <v>108</v>
      </c>
      <c r="I22" s="535" t="s">
        <v>109</v>
      </c>
      <c r="K22" s="1344" t="s">
        <v>77</v>
      </c>
      <c r="L22" s="1391"/>
      <c r="M22" s="534" t="s">
        <v>31</v>
      </c>
      <c r="N22" s="149" t="s">
        <v>124</v>
      </c>
      <c r="O22" s="149" t="s">
        <v>211</v>
      </c>
      <c r="P22" s="196" t="s">
        <v>134</v>
      </c>
      <c r="Q22" s="196" t="s">
        <v>108</v>
      </c>
      <c r="R22" s="197" t="s">
        <v>109</v>
      </c>
    </row>
    <row r="23" spans="2:21" ht="16" thickBot="1">
      <c r="B23" s="1336"/>
      <c r="C23" s="1392"/>
      <c r="D23" s="712" t="s">
        <v>2</v>
      </c>
      <c r="E23" s="177" t="s">
        <v>20</v>
      </c>
      <c r="F23" s="177" t="s">
        <v>210</v>
      </c>
      <c r="G23" s="430" t="s">
        <v>145</v>
      </c>
      <c r="H23" s="713" t="s">
        <v>145</v>
      </c>
      <c r="I23" s="714" t="s">
        <v>36</v>
      </c>
      <c r="K23" s="1336"/>
      <c r="L23" s="1403"/>
      <c r="M23" s="702" t="s">
        <v>2</v>
      </c>
      <c r="N23" s="177" t="s">
        <v>20</v>
      </c>
      <c r="O23" s="177" t="s">
        <v>210</v>
      </c>
      <c r="P23" s="430" t="s">
        <v>145</v>
      </c>
      <c r="Q23" s="713" t="s">
        <v>145</v>
      </c>
      <c r="R23" s="714" t="s">
        <v>36</v>
      </c>
    </row>
    <row r="24" spans="2:21" ht="16" thickBot="1">
      <c r="B24" s="32" t="s">
        <v>60</v>
      </c>
      <c r="C24" s="133" t="s">
        <v>57</v>
      </c>
      <c r="D24" s="171">
        <v>80.5</v>
      </c>
      <c r="E24" s="160">
        <f>'[18]Lode 60+20min'!$H$3</f>
        <v>372.22984876184142</v>
      </c>
      <c r="F24" s="160">
        <f>E24/D24</f>
        <v>4.6239732765446142</v>
      </c>
      <c r="G24" s="163">
        <f>'[18]VO2 60+20min'!$K$8</f>
        <v>5389.1777777777779</v>
      </c>
      <c r="H24" s="152">
        <f>'[18]VO2 60+20min'!$L$8</f>
        <v>0.90999999999999992</v>
      </c>
      <c r="I24" s="160">
        <f>E24/((G24/60000)*(4840*H24+16890))*100</f>
        <v>19.461420129478832</v>
      </c>
      <c r="K24" s="89" t="s">
        <v>61</v>
      </c>
      <c r="L24" s="715" t="s">
        <v>58</v>
      </c>
      <c r="M24" s="171">
        <v>74.8</v>
      </c>
      <c r="N24" s="160">
        <f>'[19]Lode 60+20min'!$H$3</f>
        <v>291.2266998341625</v>
      </c>
      <c r="O24" s="160">
        <f>N24/M24</f>
        <v>3.893405077996825</v>
      </c>
      <c r="P24" s="716">
        <v>4351</v>
      </c>
      <c r="Q24" s="180">
        <f>'[19]VO2 60+20min'!$L$10</f>
        <v>0.89285714285714268</v>
      </c>
      <c r="R24" s="160">
        <f>N24/((P24/60000)*(4840*Q24+16890))*100</f>
        <v>18.933174474969007</v>
      </c>
      <c r="S24" t="s">
        <v>118</v>
      </c>
      <c r="T24" t="s">
        <v>189</v>
      </c>
    </row>
    <row r="25" spans="2:21" ht="16" thickBot="1">
      <c r="B25" s="32" t="s">
        <v>60</v>
      </c>
      <c r="C25" s="134" t="s">
        <v>59</v>
      </c>
      <c r="D25" s="171">
        <v>71.599999999999994</v>
      </c>
      <c r="E25" s="160">
        <f>'[20]Lode 60+20min'!$H$3</f>
        <v>314.33838215712382</v>
      </c>
      <c r="F25" s="160">
        <f t="shared" ref="F25:F32" si="9">E25/D25</f>
        <v>4.3902008681162545</v>
      </c>
      <c r="G25" s="163">
        <f>'[20]VO2 60+20min'!$K$8</f>
        <v>4501.291666666667</v>
      </c>
      <c r="H25" s="152">
        <f>'[20]VO2 60+20min'!$L$8</f>
        <v>0.9206249999999998</v>
      </c>
      <c r="I25" s="160">
        <f t="shared" ref="I25:I32" si="10">E25/((G25/60000)*(4840*H25+16890))*100</f>
        <v>19.629017620714873</v>
      </c>
      <c r="K25" s="32" t="s">
        <v>61</v>
      </c>
      <c r="L25" s="715" t="s">
        <v>63</v>
      </c>
      <c r="M25" s="171">
        <v>74.2</v>
      </c>
      <c r="N25" s="160">
        <f>'[21]Lode 60+20min'!$H$3</f>
        <v>272.93814432989689</v>
      </c>
      <c r="O25" s="160">
        <f t="shared" ref="O25:O30" si="11">N25/M25</f>
        <v>3.6784116486509011</v>
      </c>
      <c r="P25" s="716">
        <v>4145</v>
      </c>
      <c r="Q25" s="152">
        <f>'[21]VO2 60+20min'!$L$8</f>
        <v>0.88458333333333339</v>
      </c>
      <c r="R25" s="160">
        <f t="shared" ref="R25:R29" si="12">N25/((P25/60000)*(4840*Q25+16890))*100</f>
        <v>18.661292252273537</v>
      </c>
    </row>
    <row r="26" spans="2:21" ht="16" thickBot="1">
      <c r="B26" s="32" t="s">
        <v>60</v>
      </c>
      <c r="C26" s="133" t="s">
        <v>62</v>
      </c>
      <c r="D26" s="171">
        <v>74.3</v>
      </c>
      <c r="E26" s="160">
        <f>'[22]Lode 60+20min 20.10.18'!$H$3</f>
        <v>248.22104038557421</v>
      </c>
      <c r="F26" s="160">
        <f t="shared" si="9"/>
        <v>3.3407946216093434</v>
      </c>
      <c r="G26" s="163">
        <f>'[22]VO2 60+20min 20.10.18'!$K$11</f>
        <v>3519.4583333333335</v>
      </c>
      <c r="H26" s="152">
        <f>'[22]VO2 60+20min 20.10.18'!$L$11</f>
        <v>0.909791666666667</v>
      </c>
      <c r="I26" s="160">
        <f t="shared" si="10"/>
        <v>19.87326261110514</v>
      </c>
      <c r="K26" s="32" t="s">
        <v>61</v>
      </c>
      <c r="L26" s="715" t="s">
        <v>65</v>
      </c>
      <c r="M26" s="171">
        <v>85.9</v>
      </c>
      <c r="N26" s="160">
        <f>'[23]Lode 60+20min'!$H$3</f>
        <v>353.99715147453082</v>
      </c>
      <c r="O26" s="160">
        <f t="shared" si="11"/>
        <v>4.1210378518571691</v>
      </c>
      <c r="P26" s="716">
        <v>5253</v>
      </c>
      <c r="Q26" s="152">
        <f>'[23]VO2 60+20min'!$L$8</f>
        <v>0.9002083333333335</v>
      </c>
      <c r="R26" s="160">
        <f t="shared" si="12"/>
        <v>19.03030850205139</v>
      </c>
    </row>
    <row r="27" spans="2:21" ht="16" thickBot="1">
      <c r="B27" s="32" t="s">
        <v>60</v>
      </c>
      <c r="C27" s="133" t="s">
        <v>64</v>
      </c>
      <c r="D27" s="171">
        <v>64.2</v>
      </c>
      <c r="E27" s="160">
        <f>'[24]Lode 60+20min'!$H$3</f>
        <v>233.19361277445111</v>
      </c>
      <c r="F27" s="160">
        <f t="shared" si="9"/>
        <v>3.63229926439955</v>
      </c>
      <c r="G27" s="163">
        <f>'[24]VO2 60+20min'!$K$9</f>
        <v>3316.7021276595747</v>
      </c>
      <c r="H27" s="152">
        <f>'[24]VO2 60+20min'!$L$9</f>
        <v>0.90212765957446817</v>
      </c>
      <c r="I27" s="160">
        <f t="shared" si="10"/>
        <v>19.846037354890598</v>
      </c>
      <c r="K27" s="33" t="s">
        <v>61</v>
      </c>
      <c r="L27" s="715" t="s">
        <v>66</v>
      </c>
      <c r="M27" s="171">
        <v>86.4</v>
      </c>
      <c r="N27" s="160">
        <f>'[25]Lode 60+20min'!$H$3</f>
        <v>301.42446043165467</v>
      </c>
      <c r="O27" s="160">
        <f t="shared" si="11"/>
        <v>3.4887090327737806</v>
      </c>
      <c r="P27" s="716">
        <v>4672</v>
      </c>
      <c r="Q27" s="152">
        <f>'[25]VO2 60+20min'!$L$8</f>
        <v>0.87979166666666619</v>
      </c>
      <c r="R27" s="160">
        <f t="shared" si="12"/>
        <v>18.304322995329532</v>
      </c>
    </row>
    <row r="28" spans="2:21" ht="16" thickBot="1">
      <c r="B28" s="33" t="s">
        <v>60</v>
      </c>
      <c r="C28" s="133" t="s">
        <v>67</v>
      </c>
      <c r="D28" s="171">
        <v>74.099999999999994</v>
      </c>
      <c r="E28" s="160">
        <f>'[26]Lode 60+20min'!$H$3</f>
        <v>300</v>
      </c>
      <c r="F28" s="160">
        <f t="shared" si="9"/>
        <v>4.048582995951417</v>
      </c>
      <c r="G28" s="163">
        <f>'[26]VO2 60+20min'!$K$9</f>
        <v>4517.875</v>
      </c>
      <c r="H28" s="152">
        <f>'[26]VO2 60+20min'!$L$9</f>
        <v>0.89729166666666671</v>
      </c>
      <c r="I28" s="160">
        <f t="shared" si="10"/>
        <v>18.764160992031311</v>
      </c>
      <c r="K28" s="32" t="s">
        <v>61</v>
      </c>
      <c r="L28" s="715" t="s">
        <v>69</v>
      </c>
      <c r="M28" s="171">
        <v>70.5</v>
      </c>
      <c r="N28" s="160">
        <f>'[27]Lode 60+20min'!$H$3</f>
        <v>319.37263052876619</v>
      </c>
      <c r="O28" s="160">
        <f t="shared" si="11"/>
        <v>4.5301082344505845</v>
      </c>
      <c r="P28" s="716">
        <v>4352</v>
      </c>
      <c r="Q28" s="180">
        <f>'[27]VO2 60+20min'!$L$15</f>
        <v>0.85138888888888886</v>
      </c>
      <c r="R28" s="160">
        <f t="shared" si="12"/>
        <v>20.9565157448124</v>
      </c>
      <c r="S28" t="s">
        <v>112</v>
      </c>
    </row>
    <row r="29" spans="2:21" ht="16" thickBot="1">
      <c r="B29" s="32" t="s">
        <v>60</v>
      </c>
      <c r="C29" s="133" t="s">
        <v>68</v>
      </c>
      <c r="D29" s="171">
        <v>76.599999999999994</v>
      </c>
      <c r="E29" s="160">
        <f>'[28]Lode 60+20min'!$H$3</f>
        <v>294.03388981636061</v>
      </c>
      <c r="F29" s="160">
        <f t="shared" si="9"/>
        <v>3.8385625302396948</v>
      </c>
      <c r="G29" s="163">
        <f>'[28]VO2 60+20min'!$K$8</f>
        <v>4489.041666666667</v>
      </c>
      <c r="H29" s="152">
        <f>'[28]VO2 60+20min'!$L$8</f>
        <v>0.86687500000000028</v>
      </c>
      <c r="I29" s="160">
        <f t="shared" si="10"/>
        <v>18.638351373846955</v>
      </c>
      <c r="K29" s="32" t="s">
        <v>61</v>
      </c>
      <c r="L29" s="715" t="s">
        <v>70</v>
      </c>
      <c r="M29" s="171">
        <v>61.9</v>
      </c>
      <c r="N29" s="160">
        <f>'[29]Lode 60+20min'!$H$3</f>
        <v>262.33289014459035</v>
      </c>
      <c r="O29" s="160">
        <f t="shared" si="11"/>
        <v>4.2380111493471784</v>
      </c>
      <c r="P29" s="716">
        <v>3877</v>
      </c>
      <c r="Q29" s="152">
        <f>'[29]VO2 60+20min'!$L$13</f>
        <v>0.96500000000000019</v>
      </c>
      <c r="R29" s="160">
        <f t="shared" si="12"/>
        <v>18.829871264253903</v>
      </c>
    </row>
    <row r="30" spans="2:21" ht="16" thickBot="1">
      <c r="B30" s="32" t="s">
        <v>60</v>
      </c>
      <c r="C30" s="133" t="s">
        <v>71</v>
      </c>
      <c r="D30" s="171">
        <v>79</v>
      </c>
      <c r="E30" s="160">
        <f>'[30]Lode 60+20min'!$H$3</f>
        <v>310.66136250621582</v>
      </c>
      <c r="F30" s="160">
        <f t="shared" si="9"/>
        <v>3.9324223102052636</v>
      </c>
      <c r="G30" s="163">
        <f>'[30]VO2 60+20min'!$K$15</f>
        <v>4506.6821739130437</v>
      </c>
      <c r="H30" s="152">
        <f>'[30]VO2 60+20min'!$L$14</f>
        <v>0.87326086956521742</v>
      </c>
      <c r="I30" s="160">
        <f t="shared" si="10"/>
        <v>19.586549120406108</v>
      </c>
      <c r="K30" s="53" t="s">
        <v>61</v>
      </c>
      <c r="L30" s="715" t="s">
        <v>74</v>
      </c>
      <c r="M30" s="171">
        <v>65.5</v>
      </c>
      <c r="N30" s="160">
        <f>'[31]Lode 60+20min'!$H$3</f>
        <v>237.80236430236431</v>
      </c>
      <c r="O30" s="160">
        <f t="shared" si="11"/>
        <v>3.6305704473643408</v>
      </c>
      <c r="P30" s="716">
        <v>3825</v>
      </c>
      <c r="Q30" s="152">
        <f>'[31]VO2 60+20min'!$L$14</f>
        <v>0.90291666666666648</v>
      </c>
      <c r="R30" s="160">
        <f>N30/((P30/60000)*(4840*Q30+16890))*100</f>
        <v>17.545685303674016</v>
      </c>
    </row>
    <row r="31" spans="2:21" ht="16" thickBot="1">
      <c r="B31" s="32" t="s">
        <v>60</v>
      </c>
      <c r="C31" s="133" t="s">
        <v>72</v>
      </c>
      <c r="D31" s="171">
        <v>72</v>
      </c>
      <c r="E31" s="160">
        <f>'[32]Lode 60+20min'!$H$3</f>
        <v>280.247258225324</v>
      </c>
      <c r="F31" s="160">
        <f t="shared" si="9"/>
        <v>3.8923230309072778</v>
      </c>
      <c r="G31" s="163">
        <f>'[32]VO2 60+20min'!$K$15</f>
        <v>4063.6645833333337</v>
      </c>
      <c r="H31" s="152">
        <f>'[32]VO2 60+20min'!$L$14</f>
        <v>0.85208333333333341</v>
      </c>
      <c r="I31" s="160">
        <f t="shared" si="10"/>
        <v>19.690843420580592</v>
      </c>
      <c r="L31" s="16" t="s">
        <v>76</v>
      </c>
      <c r="M31" s="179">
        <f>AVERAGE(M24:M30)</f>
        <v>74.171428571428578</v>
      </c>
      <c r="N31" s="179">
        <f t="shared" ref="N31:R31" si="13">AVERAGE(N24:N30)</f>
        <v>291.29919157799515</v>
      </c>
      <c r="O31" s="179">
        <f>AVERAGE(O24:O30)</f>
        <v>3.9400362060629681</v>
      </c>
      <c r="P31" s="179">
        <f t="shared" si="13"/>
        <v>4353.5714285714284</v>
      </c>
      <c r="Q31" s="179">
        <f t="shared" si="13"/>
        <v>0.89667800453514723</v>
      </c>
      <c r="R31" s="179">
        <f t="shared" si="13"/>
        <v>18.894452933909115</v>
      </c>
      <c r="S31" s="7"/>
      <c r="U31" s="822">
        <v>0.1145</v>
      </c>
    </row>
    <row r="32" spans="2:21" ht="16" thickBot="1">
      <c r="B32" s="53" t="s">
        <v>60</v>
      </c>
      <c r="C32" s="133" t="s">
        <v>73</v>
      </c>
      <c r="D32" s="268">
        <v>70.8</v>
      </c>
      <c r="E32" s="160">
        <f>'[33]Lode 60+20min'!$H$3</f>
        <v>292.13851014299968</v>
      </c>
      <c r="F32" s="160">
        <f t="shared" si="9"/>
        <v>4.1262501432627072</v>
      </c>
      <c r="G32" s="163">
        <f>'[33]VO2 60+20min'!$K$15</f>
        <v>4262.1937500000004</v>
      </c>
      <c r="H32" s="152">
        <f>'[33]VO2 60+20min'!$L$14</f>
        <v>0.87375000000000025</v>
      </c>
      <c r="I32" s="160">
        <f t="shared" si="10"/>
        <v>19.473075631314899</v>
      </c>
      <c r="L32" s="16" t="s">
        <v>13</v>
      </c>
      <c r="M32" s="179">
        <f>STDEVA(M24:M30)</f>
        <v>9.3697588524134705</v>
      </c>
      <c r="N32" s="179">
        <f t="shared" ref="N32:R32" si="14">STDEVA(N24:N30)</f>
        <v>38.426908275014775</v>
      </c>
      <c r="O32" s="179">
        <f t="shared" si="14"/>
        <v>0.37412627226486428</v>
      </c>
      <c r="P32" s="179">
        <f t="shared" si="14"/>
        <v>493.35378014255929</v>
      </c>
      <c r="Q32" s="179">
        <f t="shared" si="14"/>
        <v>3.4680473970677493E-2</v>
      </c>
      <c r="R32" s="179">
        <f t="shared" si="14"/>
        <v>1.0406745640482298</v>
      </c>
      <c r="S32" s="7"/>
    </row>
    <row r="33" spans="1:37">
      <c r="C33" s="16" t="s">
        <v>76</v>
      </c>
      <c r="D33" s="179">
        <f>AVERAGE(D24:D32)</f>
        <v>73.677777777777763</v>
      </c>
      <c r="E33" s="179">
        <f>AVERAGE(E24:E32)</f>
        <v>293.89598941887675</v>
      </c>
      <c r="F33" s="179">
        <f>AVERAGE(F24:F32)</f>
        <v>3.980601004581791</v>
      </c>
      <c r="G33" s="179">
        <f>AVERAGE(G24:G27,G29:G32)</f>
        <v>4256.0265099188</v>
      </c>
      <c r="H33" s="179">
        <f t="shared" ref="H33" si="15">AVERAGE(H24:H27,H29:H32)</f>
        <v>0.88856419114246077</v>
      </c>
      <c r="I33" s="179">
        <f t="shared" ref="I33" si="16">AVERAGE(I24:I27,I29:I32)</f>
        <v>19.52481965779225</v>
      </c>
      <c r="L33" s="16" t="s">
        <v>14</v>
      </c>
      <c r="M33" s="179">
        <f>M32/SQRT(COUNT(M24:M30))</f>
        <v>3.5414359668759987</v>
      </c>
      <c r="N33" s="179">
        <f t="shared" ref="N33:R33" si="17">N32/SQRT(COUNT(N24:N30))</f>
        <v>14.524006135539871</v>
      </c>
      <c r="O33" s="179">
        <f t="shared" si="17"/>
        <v>0.1414064393354961</v>
      </c>
      <c r="P33" s="179">
        <f t="shared" si="17"/>
        <v>186.47020151869256</v>
      </c>
      <c r="Q33" s="179">
        <f t="shared" si="17"/>
        <v>1.3107987068037339E-2</v>
      </c>
      <c r="R33" s="179">
        <f t="shared" si="17"/>
        <v>0.39333801317459643</v>
      </c>
      <c r="S33" s="7"/>
    </row>
    <row r="34" spans="1:37">
      <c r="C34" s="16" t="s">
        <v>13</v>
      </c>
      <c r="D34" s="179">
        <f>STDEVA(D24:D32)</f>
        <v>4.863326479318907</v>
      </c>
      <c r="E34" s="179">
        <f>STDEVA(E24:E32)</f>
        <v>40.051212111737925</v>
      </c>
      <c r="F34" s="179">
        <f>STDEVA(F24:F32)</f>
        <v>0.38217969867176482</v>
      </c>
      <c r="G34" s="179">
        <f>STDEVA(G24:G27,G29:G32)</f>
        <v>646.22146111581151</v>
      </c>
      <c r="H34" s="179">
        <f t="shared" ref="H34:I34" si="18">STDEVA(H24:H27,H29:H32)</f>
        <v>2.5005395613230803E-2</v>
      </c>
      <c r="I34" s="179">
        <f t="shared" si="18"/>
        <v>0.38901852607228338</v>
      </c>
    </row>
    <row r="35" spans="1:37">
      <c r="C35" s="16" t="s">
        <v>14</v>
      </c>
      <c r="D35" s="179">
        <f>D34/SQRT(COUNT(D24:D32))</f>
        <v>1.6211088264396356</v>
      </c>
      <c r="E35" s="179">
        <f>E34/SQRT(COUNT(E24:E32))</f>
        <v>13.350404037245974</v>
      </c>
      <c r="F35" s="179">
        <f>F34/SQRT(COUNT(F24:F32))</f>
        <v>0.12739323289058826</v>
      </c>
      <c r="G35" s="179">
        <f t="shared" ref="G35" si="19">G34/SQRT(COUNT(G24:G32))</f>
        <v>215.4071537052705</v>
      </c>
      <c r="H35" s="179">
        <f t="shared" ref="H35" si="20">H34/SQRT(COUNT(H24:H32))</f>
        <v>8.3351318710769336E-3</v>
      </c>
      <c r="I35" s="179">
        <f t="shared" ref="I35" si="21">I34/SQRT(COUNT(I24:I32))</f>
        <v>0.12967284202409446</v>
      </c>
      <c r="K35" t="s">
        <v>149</v>
      </c>
    </row>
    <row r="36" spans="1:37">
      <c r="D36" s="124"/>
      <c r="K36" t="s">
        <v>150</v>
      </c>
    </row>
    <row r="38" spans="1:37" ht="16" thickBot="1">
      <c r="A38" s="269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</row>
    <row r="40" spans="1:37" ht="16" thickBot="1"/>
    <row r="41" spans="1:37" ht="16" thickBot="1">
      <c r="A41" s="313"/>
      <c r="B41" s="1395" t="s">
        <v>170</v>
      </c>
      <c r="C41" s="1396"/>
      <c r="D41" s="401"/>
      <c r="E41" s="313"/>
      <c r="F41" s="313"/>
      <c r="G41" s="313"/>
      <c r="H41" s="313"/>
      <c r="I41" s="313"/>
      <c r="J41" s="313"/>
      <c r="K41" s="400" t="s">
        <v>170</v>
      </c>
      <c r="L41" s="312"/>
      <c r="M41" s="401"/>
      <c r="N41" s="313"/>
      <c r="O41" s="313"/>
      <c r="P41" s="313"/>
      <c r="Q41" s="313"/>
      <c r="R41" s="313"/>
      <c r="T41" s="554"/>
      <c r="U41" s="1393" t="s">
        <v>177</v>
      </c>
      <c r="V41" s="1394"/>
      <c r="W41" s="660"/>
      <c r="X41" s="554"/>
      <c r="Y41" s="554"/>
      <c r="Z41" s="554"/>
      <c r="AA41" s="554"/>
      <c r="AB41" s="554"/>
      <c r="AC41" s="554"/>
      <c r="AD41" s="695" t="s">
        <v>177</v>
      </c>
      <c r="AE41" s="666"/>
      <c r="AF41" s="660"/>
      <c r="AG41" s="554"/>
      <c r="AH41" s="554"/>
      <c r="AI41" s="554"/>
      <c r="AJ41" s="554"/>
      <c r="AK41" s="554"/>
    </row>
    <row r="42" spans="1:37" ht="16" thickBot="1">
      <c r="A42" s="313"/>
      <c r="B42" s="1381" t="s">
        <v>77</v>
      </c>
      <c r="C42" s="1382"/>
      <c r="D42" s="536" t="s">
        <v>31</v>
      </c>
      <c r="E42" s="318" t="s">
        <v>124</v>
      </c>
      <c r="F42" s="318" t="s">
        <v>211</v>
      </c>
      <c r="G42" s="396" t="s">
        <v>134</v>
      </c>
      <c r="H42" s="396" t="s">
        <v>108</v>
      </c>
      <c r="I42" s="397" t="s">
        <v>109</v>
      </c>
      <c r="J42" s="313"/>
      <c r="K42" s="1381" t="s">
        <v>77</v>
      </c>
      <c r="L42" s="1382"/>
      <c r="M42" s="536" t="s">
        <v>31</v>
      </c>
      <c r="N42" s="318" t="s">
        <v>124</v>
      </c>
      <c r="O42" s="318" t="s">
        <v>211</v>
      </c>
      <c r="P42" s="396" t="s">
        <v>134</v>
      </c>
      <c r="Q42" s="396" t="s">
        <v>108</v>
      </c>
      <c r="R42" s="397" t="s">
        <v>109</v>
      </c>
      <c r="T42" s="554"/>
      <c r="U42" s="1385" t="s">
        <v>77</v>
      </c>
      <c r="V42" s="1386"/>
      <c r="W42" s="555" t="s">
        <v>31</v>
      </c>
      <c r="X42" s="696" t="s">
        <v>124</v>
      </c>
      <c r="Y42" s="696" t="s">
        <v>211</v>
      </c>
      <c r="Z42" s="558" t="s">
        <v>134</v>
      </c>
      <c r="AA42" s="558" t="s">
        <v>108</v>
      </c>
      <c r="AB42" s="668" t="s">
        <v>109</v>
      </c>
      <c r="AC42" s="554"/>
      <c r="AD42" s="1385" t="s">
        <v>77</v>
      </c>
      <c r="AE42" s="1386"/>
      <c r="AF42" s="555" t="s">
        <v>31</v>
      </c>
      <c r="AG42" s="696" t="s">
        <v>124</v>
      </c>
      <c r="AH42" s="696" t="s">
        <v>211</v>
      </c>
      <c r="AI42" s="558" t="s">
        <v>134</v>
      </c>
      <c r="AJ42" s="558" t="s">
        <v>108</v>
      </c>
      <c r="AK42" s="668" t="s">
        <v>109</v>
      </c>
    </row>
    <row r="43" spans="1:37" ht="16" thickBot="1">
      <c r="A43" s="313"/>
      <c r="B43" s="1383"/>
      <c r="C43" s="1384"/>
      <c r="D43" s="703" t="s">
        <v>2</v>
      </c>
      <c r="E43" s="389" t="s">
        <v>20</v>
      </c>
      <c r="F43" s="389" t="s">
        <v>210</v>
      </c>
      <c r="G43" s="418" t="s">
        <v>145</v>
      </c>
      <c r="H43" s="419" t="s">
        <v>145</v>
      </c>
      <c r="I43" s="396" t="s">
        <v>36</v>
      </c>
      <c r="J43" s="313"/>
      <c r="K43" s="1383"/>
      <c r="L43" s="1402"/>
      <c r="M43" s="703" t="s">
        <v>2</v>
      </c>
      <c r="N43" s="389" t="s">
        <v>20</v>
      </c>
      <c r="O43" s="389" t="s">
        <v>210</v>
      </c>
      <c r="P43" s="418" t="s">
        <v>145</v>
      </c>
      <c r="Q43" s="419" t="s">
        <v>145</v>
      </c>
      <c r="R43" s="396" t="s">
        <v>36</v>
      </c>
      <c r="T43" s="554"/>
      <c r="U43" s="1387"/>
      <c r="V43" s="1401"/>
      <c r="W43" s="705" t="s">
        <v>2</v>
      </c>
      <c r="X43" s="697" t="s">
        <v>20</v>
      </c>
      <c r="Y43" s="697" t="s">
        <v>210</v>
      </c>
      <c r="Z43" s="563" t="s">
        <v>145</v>
      </c>
      <c r="AA43" s="564" t="s">
        <v>145</v>
      </c>
      <c r="AB43" s="558" t="s">
        <v>36</v>
      </c>
      <c r="AC43" s="554"/>
      <c r="AD43" s="1387"/>
      <c r="AE43" s="1401"/>
      <c r="AF43" s="705" t="s">
        <v>2</v>
      </c>
      <c r="AG43" s="697" t="s">
        <v>20</v>
      </c>
      <c r="AH43" s="697" t="s">
        <v>210</v>
      </c>
      <c r="AI43" s="563" t="s">
        <v>145</v>
      </c>
      <c r="AJ43" s="564" t="s">
        <v>145</v>
      </c>
      <c r="AK43" s="558" t="s">
        <v>36</v>
      </c>
    </row>
    <row r="44" spans="1:37" ht="16" thickBot="1">
      <c r="A44" s="313"/>
      <c r="B44" s="322" t="s">
        <v>60</v>
      </c>
      <c r="C44" s="328" t="s">
        <v>57</v>
      </c>
      <c r="D44" s="711">
        <f>D24-D5</f>
        <v>0.70000000000000284</v>
      </c>
      <c r="E44" s="361">
        <f>E24-E5</f>
        <v>-6.7330895795246875</v>
      </c>
      <c r="F44" s="361">
        <f>F24-F5</f>
        <v>-0.12493572522689078</v>
      </c>
      <c r="G44" s="361">
        <f t="shared" ref="G44:I44" si="22">G24-G5</f>
        <v>81.619638242894325</v>
      </c>
      <c r="H44" s="361">
        <f t="shared" si="22"/>
        <v>-1.8837209302325797E-2</v>
      </c>
      <c r="I44" s="361">
        <f t="shared" si="22"/>
        <v>-0.57095095563668607</v>
      </c>
      <c r="J44" s="313"/>
      <c r="K44" s="343" t="s">
        <v>61</v>
      </c>
      <c r="L44" s="710" t="s">
        <v>58</v>
      </c>
      <c r="M44" s="711">
        <f>M24-M5</f>
        <v>0.79999999999999716</v>
      </c>
      <c r="N44" s="361">
        <f>N24-N5</f>
        <v>-4.3972828929592538</v>
      </c>
      <c r="O44" s="361">
        <f>O24-O5</f>
        <v>-0.10151360750482041</v>
      </c>
      <c r="P44" s="361">
        <f t="shared" ref="P44:R44" si="23">P24-P5</f>
        <v>41.199999999999818</v>
      </c>
      <c r="Q44" s="391">
        <f t="shared" si="23"/>
        <v>-3.3051948051948221E-2</v>
      </c>
      <c r="R44" s="361">
        <f t="shared" si="23"/>
        <v>-0.3243662203833253</v>
      </c>
      <c r="T44" s="554"/>
      <c r="U44" s="565" t="s">
        <v>60</v>
      </c>
      <c r="V44" s="706" t="s">
        <v>57</v>
      </c>
      <c r="W44" s="707">
        <f t="shared" ref="W44:AB44" si="24">(D24-D5)/D5*100</f>
        <v>0.87719298245614397</v>
      </c>
      <c r="X44" s="698">
        <f t="shared" si="24"/>
        <v>-1.7767145275455896</v>
      </c>
      <c r="Y44" s="698">
        <f t="shared" si="24"/>
        <v>-2.6308300533930109</v>
      </c>
      <c r="Z44" s="698">
        <f t="shared" si="24"/>
        <v>1.537800172831397</v>
      </c>
      <c r="AA44" s="698">
        <f t="shared" si="24"/>
        <v>-2.0280420630946647</v>
      </c>
      <c r="AB44" s="698">
        <f t="shared" si="24"/>
        <v>-2.8501416692550934</v>
      </c>
      <c r="AC44" s="554"/>
      <c r="AD44" s="567" t="s">
        <v>61</v>
      </c>
      <c r="AE44" s="706" t="s">
        <v>58</v>
      </c>
      <c r="AF44" s="707">
        <f>(M24-M5)/M5*100</f>
        <v>1.0810810810810774</v>
      </c>
      <c r="AG44" s="698">
        <f>(N24-N5)/N5*100</f>
        <v>-1.4874581055279954</v>
      </c>
      <c r="AH44" s="698">
        <f>(O24-O5)/O5*100</f>
        <v>-2.5410681792656629</v>
      </c>
      <c r="AI44" s="698">
        <f t="shared" ref="AI44:AK50" si="25">(P24-P5)/P5*100</f>
        <v>0.95596083344934368</v>
      </c>
      <c r="AJ44" s="698">
        <f t="shared" si="25"/>
        <v>-3.5696752927975499</v>
      </c>
      <c r="AK44" s="698">
        <f t="shared" si="25"/>
        <v>-1.6843595218864509</v>
      </c>
    </row>
    <row r="45" spans="1:37" ht="16" thickBot="1">
      <c r="A45" s="313"/>
      <c r="B45" s="322" t="s">
        <v>60</v>
      </c>
      <c r="C45" s="331" t="s">
        <v>59</v>
      </c>
      <c r="D45" s="711">
        <f t="shared" ref="D45:D52" si="26">D25-D6</f>
        <v>-0.5</v>
      </c>
      <c r="E45" s="361">
        <f>E25-E6</f>
        <v>-40.69969566129987</v>
      </c>
      <c r="F45" s="361">
        <f>F25-F6</f>
        <v>-0.53404431660529461</v>
      </c>
      <c r="G45" s="361">
        <f t="shared" ref="G45:I45" si="27">G25-G6</f>
        <v>-483.41666666666606</v>
      </c>
      <c r="H45" s="361">
        <f t="shared" si="27"/>
        <v>1.0416666666666075E-3</v>
      </c>
      <c r="I45" s="361">
        <f t="shared" si="27"/>
        <v>-0.39614610708249742</v>
      </c>
      <c r="J45" s="313"/>
      <c r="K45" s="322" t="s">
        <v>61</v>
      </c>
      <c r="L45" s="710" t="s">
        <v>63</v>
      </c>
      <c r="M45" s="711">
        <f t="shared" ref="M45:M50" si="28">M25-M6</f>
        <v>0.20000000000000284</v>
      </c>
      <c r="N45" s="361">
        <f>N25-N6</f>
        <v>36.702908762544524</v>
      </c>
      <c r="O45" s="361">
        <f t="shared" ref="O45:O50" si="29">O25-O6</f>
        <v>0.48604360044343675</v>
      </c>
      <c r="P45" s="361">
        <f t="shared" ref="P45:R45" si="30">P25-P6</f>
        <v>605.60416666666652</v>
      </c>
      <c r="Q45" s="391">
        <f t="shared" si="30"/>
        <v>4.9166666666666803E-2</v>
      </c>
      <c r="R45" s="361">
        <f t="shared" si="30"/>
        <v>-0.46922322254095761</v>
      </c>
      <c r="T45" s="554"/>
      <c r="U45" s="565" t="s">
        <v>60</v>
      </c>
      <c r="V45" s="708" t="s">
        <v>59</v>
      </c>
      <c r="W45" s="707">
        <f t="shared" ref="W45:W52" si="31">(D25-D6)/D6*100</f>
        <v>-0.69348127600554788</v>
      </c>
      <c r="X45" s="698">
        <f t="shared" ref="X45:X52" si="32">(E25-E6)/E6*100</f>
        <v>-11.463473414283982</v>
      </c>
      <c r="Y45" s="698">
        <f t="shared" ref="Y45:Y52" si="33">(F25-F6)/F6*100</f>
        <v>-10.845201580584845</v>
      </c>
      <c r="Z45" s="698">
        <f t="shared" ref="Z45:AB47" si="34">(G25-G6)/G6*100</f>
        <v>-9.6979930286793667</v>
      </c>
      <c r="AA45" s="698">
        <f t="shared" si="34"/>
        <v>0.11327594019029716</v>
      </c>
      <c r="AB45" s="698">
        <f t="shared" si="34"/>
        <v>-1.9782415388324557</v>
      </c>
      <c r="AC45" s="554"/>
      <c r="AD45" s="565" t="s">
        <v>61</v>
      </c>
      <c r="AE45" s="706" t="s">
        <v>63</v>
      </c>
      <c r="AF45" s="707">
        <f t="shared" ref="AF45:AF50" si="35">(M25-M6)/M6*100</f>
        <v>0.27027027027027412</v>
      </c>
      <c r="AG45" s="698">
        <f t="shared" ref="AG45:AG50" si="36">(N25-N6)/N6*100</f>
        <v>15.536593715326713</v>
      </c>
      <c r="AH45" s="698">
        <f t="shared" ref="AH45:AH50" si="37">(O25-O6)/O6*100</f>
        <v>15.225174325258436</v>
      </c>
      <c r="AI45" s="698">
        <f t="shared" si="25"/>
        <v>17.110382539392898</v>
      </c>
      <c r="AJ45" s="698">
        <f t="shared" si="25"/>
        <v>5.8852867830424112</v>
      </c>
      <c r="AK45" s="698">
        <f t="shared" si="25"/>
        <v>-2.4527474084987122</v>
      </c>
    </row>
    <row r="46" spans="1:37" ht="16" thickBot="1">
      <c r="A46" s="313"/>
      <c r="B46" s="322" t="s">
        <v>60</v>
      </c>
      <c r="C46" s="328" t="s">
        <v>62</v>
      </c>
      <c r="D46" s="711">
        <f t="shared" si="26"/>
        <v>1.5</v>
      </c>
      <c r="E46" s="361">
        <f t="shared" ref="E46:I52" si="38">E26-E7</f>
        <v>-10.496955286142111</v>
      </c>
      <c r="F46" s="361">
        <f t="shared" ref="F46:F52" si="39">F26-F7</f>
        <v>-0.21302400025489199</v>
      </c>
      <c r="G46" s="361">
        <f t="shared" si="38"/>
        <v>-154</v>
      </c>
      <c r="H46" s="361">
        <f t="shared" si="38"/>
        <v>1.708333333333345E-2</v>
      </c>
      <c r="I46" s="361">
        <f t="shared" si="38"/>
        <v>-4.9409996411228008E-2</v>
      </c>
      <c r="J46" s="313"/>
      <c r="K46" s="322" t="s">
        <v>61</v>
      </c>
      <c r="L46" s="710" t="s">
        <v>65</v>
      </c>
      <c r="M46" s="711">
        <f t="shared" si="28"/>
        <v>2</v>
      </c>
      <c r="N46" s="361">
        <f t="shared" ref="N46:R50" si="40">N26-N7</f>
        <v>-16.915161644904742</v>
      </c>
      <c r="O46" s="361">
        <f t="shared" si="29"/>
        <v>-0.29984788258187223</v>
      </c>
      <c r="P46" s="361">
        <f t="shared" si="40"/>
        <v>34.02083333333303</v>
      </c>
      <c r="Q46" s="391">
        <f t="shared" si="40"/>
        <v>-8.3333333333333037E-3</v>
      </c>
      <c r="R46" s="361">
        <f t="shared" si="40"/>
        <v>-1.0012853987243169</v>
      </c>
      <c r="T46" s="554"/>
      <c r="U46" s="565" t="s">
        <v>60</v>
      </c>
      <c r="V46" s="706" t="s">
        <v>62</v>
      </c>
      <c r="W46" s="707">
        <f t="shared" si="31"/>
        <v>2.0604395604395602</v>
      </c>
      <c r="X46" s="698">
        <f t="shared" si="32"/>
        <v>-4.0572961532453862</v>
      </c>
      <c r="Y46" s="698">
        <f t="shared" si="33"/>
        <v>-5.9942282632067885</v>
      </c>
      <c r="Z46" s="698">
        <f t="shared" si="34"/>
        <v>-4.1922348377437242</v>
      </c>
      <c r="AA46" s="698">
        <f t="shared" si="34"/>
        <v>1.9136522753792424</v>
      </c>
      <c r="AB46" s="698">
        <f t="shared" si="34"/>
        <v>-0.24800887604099234</v>
      </c>
      <c r="AC46" s="554"/>
      <c r="AD46" s="565" t="s">
        <v>61</v>
      </c>
      <c r="AE46" s="706" t="s">
        <v>65</v>
      </c>
      <c r="AF46" s="707">
        <f t="shared" si="35"/>
        <v>2.3837902264600714</v>
      </c>
      <c r="AG46" s="698">
        <f t="shared" si="36"/>
        <v>-4.5604206295135796</v>
      </c>
      <c r="AH46" s="698">
        <f t="shared" si="37"/>
        <v>-6.7825295787682105</v>
      </c>
      <c r="AI46" s="698">
        <f t="shared" si="25"/>
        <v>0.65186758266103495</v>
      </c>
      <c r="AJ46" s="698">
        <f t="shared" si="25"/>
        <v>-0.91722082091263124</v>
      </c>
      <c r="AK46" s="698">
        <f t="shared" si="25"/>
        <v>-4.9985308392535996</v>
      </c>
    </row>
    <row r="47" spans="1:37" ht="16" thickBot="1">
      <c r="A47" s="313"/>
      <c r="B47" s="322" t="s">
        <v>60</v>
      </c>
      <c r="C47" s="328" t="s">
        <v>64</v>
      </c>
      <c r="D47" s="711">
        <f t="shared" si="26"/>
        <v>1</v>
      </c>
      <c r="E47" s="361">
        <f t="shared" si="38"/>
        <v>-17.339106566314769</v>
      </c>
      <c r="F47" s="361">
        <f t="shared" si="39"/>
        <v>-0.33182604162522633</v>
      </c>
      <c r="G47" s="361">
        <f t="shared" si="38"/>
        <v>-180.08953900709184</v>
      </c>
      <c r="H47" s="361">
        <f t="shared" si="38"/>
        <v>-4.2664007092198419E-2</v>
      </c>
      <c r="I47" s="361">
        <f t="shared" si="38"/>
        <v>-0.18298421388530173</v>
      </c>
      <c r="J47" s="313"/>
      <c r="K47" s="332" t="s">
        <v>61</v>
      </c>
      <c r="L47" s="710" t="s">
        <v>66</v>
      </c>
      <c r="M47" s="711">
        <f t="shared" si="28"/>
        <v>0.60000000000000853</v>
      </c>
      <c r="N47" s="361">
        <f t="shared" si="40"/>
        <v>-33.078292780426068</v>
      </c>
      <c r="O47" s="361">
        <f t="shared" si="29"/>
        <v>-0.40992445454650772</v>
      </c>
      <c r="P47" s="361">
        <f t="shared" si="40"/>
        <v>-274.8125</v>
      </c>
      <c r="Q47" s="391">
        <f t="shared" si="40"/>
        <v>6.0416666666662788E-3</v>
      </c>
      <c r="R47" s="361">
        <f t="shared" si="40"/>
        <v>-0.90681871480360954</v>
      </c>
      <c r="T47" s="554"/>
      <c r="U47" s="565" t="s">
        <v>60</v>
      </c>
      <c r="V47" s="706" t="s">
        <v>64</v>
      </c>
      <c r="W47" s="707">
        <f t="shared" si="31"/>
        <v>1.582278481012658</v>
      </c>
      <c r="X47" s="698">
        <f t="shared" si="32"/>
        <v>-6.9208950479361224</v>
      </c>
      <c r="Y47" s="698">
        <f t="shared" si="33"/>
        <v>-8.370725343139604</v>
      </c>
      <c r="Z47" s="698">
        <f t="shared" si="34"/>
        <v>-5.1501363585312783</v>
      </c>
      <c r="AA47" s="698">
        <f t="shared" si="34"/>
        <v>-4.5157052710595904</v>
      </c>
      <c r="AB47" s="698">
        <f t="shared" si="34"/>
        <v>-0.91359537088203879</v>
      </c>
      <c r="AC47" s="554"/>
      <c r="AD47" s="570" t="s">
        <v>61</v>
      </c>
      <c r="AE47" s="706" t="s">
        <v>66</v>
      </c>
      <c r="AF47" s="707">
        <f t="shared" si="35"/>
        <v>0.69930069930070926</v>
      </c>
      <c r="AG47" s="698">
        <f t="shared" si="36"/>
        <v>-9.8887953724715203</v>
      </c>
      <c r="AH47" s="698">
        <f t="shared" si="37"/>
        <v>-10.514567626829365</v>
      </c>
      <c r="AI47" s="698">
        <f t="shared" si="25"/>
        <v>-5.5553449822486698</v>
      </c>
      <c r="AJ47" s="698">
        <f t="shared" si="25"/>
        <v>0.69146399618498189</v>
      </c>
      <c r="AK47" s="698">
        <f t="shared" si="25"/>
        <v>-4.72027497629304</v>
      </c>
    </row>
    <row r="48" spans="1:37" ht="16" thickBot="1">
      <c r="A48" s="313"/>
      <c r="B48" s="332" t="s">
        <v>60</v>
      </c>
      <c r="C48" s="328" t="s">
        <v>67</v>
      </c>
      <c r="D48" s="711">
        <f t="shared" si="26"/>
        <v>0.19999999999998863</v>
      </c>
      <c r="E48" s="361">
        <f t="shared" si="38"/>
        <v>3.1926326461642702</v>
      </c>
      <c r="F48" s="361">
        <f t="shared" si="39"/>
        <v>3.2245142719539821E-2</v>
      </c>
      <c r="G48" s="361"/>
      <c r="H48" s="361"/>
      <c r="I48" s="361"/>
      <c r="J48" s="313"/>
      <c r="K48" s="322" t="s">
        <v>61</v>
      </c>
      <c r="L48" s="710" t="s">
        <v>69</v>
      </c>
      <c r="M48" s="711">
        <f t="shared" si="28"/>
        <v>-0.5</v>
      </c>
      <c r="N48" s="361">
        <f t="shared" si="40"/>
        <v>-17.102784753625826</v>
      </c>
      <c r="O48" s="361">
        <f t="shared" si="29"/>
        <v>-0.20898212163944407</v>
      </c>
      <c r="P48" s="361">
        <f t="shared" si="40"/>
        <v>-156.79833333333318</v>
      </c>
      <c r="Q48" s="391">
        <f t="shared" si="40"/>
        <v>-4.1527777777777497E-2</v>
      </c>
      <c r="R48" s="361">
        <f t="shared" si="40"/>
        <v>-0.1524988351092631</v>
      </c>
      <c r="T48" s="554"/>
      <c r="U48" s="570" t="s">
        <v>60</v>
      </c>
      <c r="V48" s="706" t="s">
        <v>67</v>
      </c>
      <c r="W48" s="707">
        <f t="shared" si="31"/>
        <v>0.27063599458726467</v>
      </c>
      <c r="X48" s="698">
        <f t="shared" si="32"/>
        <v>1.0756581531745497</v>
      </c>
      <c r="Y48" s="698">
        <f t="shared" si="33"/>
        <v>0.8028493592388577</v>
      </c>
      <c r="Z48" s="698"/>
      <c r="AA48" s="698"/>
      <c r="AB48" s="698"/>
      <c r="AC48" s="554"/>
      <c r="AD48" s="565" t="s">
        <v>61</v>
      </c>
      <c r="AE48" s="706" t="s">
        <v>69</v>
      </c>
      <c r="AF48" s="707">
        <f t="shared" si="35"/>
        <v>-0.70422535211267612</v>
      </c>
      <c r="AG48" s="698">
        <f t="shared" si="36"/>
        <v>-5.0829225485232135</v>
      </c>
      <c r="AH48" s="698">
        <f t="shared" si="37"/>
        <v>-4.4097517864559999</v>
      </c>
      <c r="AI48" s="698">
        <f t="shared" si="25"/>
        <v>-3.4776080396883242</v>
      </c>
      <c r="AJ48" s="698">
        <f t="shared" si="25"/>
        <v>-4.6508010577072341</v>
      </c>
      <c r="AK48" s="698">
        <f t="shared" si="25"/>
        <v>-0.72243464768040833</v>
      </c>
    </row>
    <row r="49" spans="1:37" ht="16" thickBot="1">
      <c r="A49" s="313"/>
      <c r="B49" s="322" t="s">
        <v>60</v>
      </c>
      <c r="C49" s="328" t="s">
        <v>68</v>
      </c>
      <c r="D49" s="711">
        <f t="shared" si="26"/>
        <v>0.5</v>
      </c>
      <c r="E49" s="361">
        <f t="shared" si="38"/>
        <v>2.1962716375581408</v>
      </c>
      <c r="F49" s="361">
        <f t="shared" si="39"/>
        <v>3.6398209256014447E-3</v>
      </c>
      <c r="G49" s="361">
        <f t="shared" si="38"/>
        <v>153.8125</v>
      </c>
      <c r="H49" s="361">
        <f t="shared" si="38"/>
        <v>-4.041666666666599E-2</v>
      </c>
      <c r="I49" s="361">
        <f t="shared" si="38"/>
        <v>-0.3410486234386525</v>
      </c>
      <c r="J49" s="313"/>
      <c r="K49" s="322" t="s">
        <v>61</v>
      </c>
      <c r="L49" s="710" t="s">
        <v>70</v>
      </c>
      <c r="M49" s="711">
        <f t="shared" si="28"/>
        <v>0.89999999999999858</v>
      </c>
      <c r="N49" s="361">
        <f t="shared" si="40"/>
        <v>-1.9019924141302909</v>
      </c>
      <c r="O49" s="361">
        <f t="shared" si="29"/>
        <v>-9.3708236861356653E-2</v>
      </c>
      <c r="P49" s="361">
        <f t="shared" si="40"/>
        <v>-98.206111111111113</v>
      </c>
      <c r="Q49" s="391">
        <f t="shared" si="40"/>
        <v>9.5833333333333215E-2</v>
      </c>
      <c r="R49" s="361">
        <f t="shared" si="40"/>
        <v>-7.465720048534763E-2</v>
      </c>
      <c r="T49" s="554"/>
      <c r="U49" s="565" t="s">
        <v>60</v>
      </c>
      <c r="V49" s="706" t="s">
        <v>68</v>
      </c>
      <c r="W49" s="707">
        <f t="shared" si="31"/>
        <v>0.65703022339027606</v>
      </c>
      <c r="X49" s="698">
        <f t="shared" si="32"/>
        <v>0.75256632481578634</v>
      </c>
      <c r="Y49" s="698">
        <f t="shared" si="33"/>
        <v>9.4912497630296591E-2</v>
      </c>
      <c r="Z49" s="698">
        <f t="shared" ref="Z49:AB52" si="41">(G29-G10)/G10*100</f>
        <v>3.5479669952088266</v>
      </c>
      <c r="AA49" s="698">
        <f t="shared" si="41"/>
        <v>-4.4546498277840838</v>
      </c>
      <c r="AB49" s="698">
        <f t="shared" si="41"/>
        <v>-1.7969410175634031</v>
      </c>
      <c r="AC49" s="554"/>
      <c r="AD49" s="565" t="s">
        <v>61</v>
      </c>
      <c r="AE49" s="706" t="s">
        <v>70</v>
      </c>
      <c r="AF49" s="707">
        <f t="shared" si="35"/>
        <v>1.4754098360655714</v>
      </c>
      <c r="AG49" s="698">
        <f t="shared" si="36"/>
        <v>-0.71981125115364475</v>
      </c>
      <c r="AH49" s="698">
        <f t="shared" si="37"/>
        <v>-2.1633034946748375</v>
      </c>
      <c r="AI49" s="698">
        <f t="shared" si="25"/>
        <v>-2.4704658919851954</v>
      </c>
      <c r="AJ49" s="698">
        <f t="shared" si="25"/>
        <v>11.025886864813021</v>
      </c>
      <c r="AK49" s="698">
        <f t="shared" si="25"/>
        <v>-0.39491702014466179</v>
      </c>
    </row>
    <row r="50" spans="1:37" ht="16" thickBot="1">
      <c r="A50" s="313"/>
      <c r="B50" s="322" t="s">
        <v>60</v>
      </c>
      <c r="C50" s="328" t="s">
        <v>71</v>
      </c>
      <c r="D50" s="711">
        <f t="shared" si="26"/>
        <v>0.90000000000000568</v>
      </c>
      <c r="E50" s="361">
        <f t="shared" si="38"/>
        <v>-12.326750669742637</v>
      </c>
      <c r="F50" s="361">
        <f t="shared" si="39"/>
        <v>-0.20314892124106754</v>
      </c>
      <c r="G50" s="361">
        <f t="shared" si="38"/>
        <v>-118.721355498722</v>
      </c>
      <c r="H50" s="361">
        <f t="shared" si="38"/>
        <v>-9.0920716112530275E-3</v>
      </c>
      <c r="I50" s="361">
        <f t="shared" si="38"/>
        <v>-0.21323367470749233</v>
      </c>
      <c r="J50" s="313"/>
      <c r="K50" s="333" t="s">
        <v>61</v>
      </c>
      <c r="L50" s="710" t="s">
        <v>74</v>
      </c>
      <c r="M50" s="711">
        <f t="shared" si="28"/>
        <v>-9.9999999999994316E-2</v>
      </c>
      <c r="N50" s="361">
        <f t="shared" si="40"/>
        <v>1.5986698440517841</v>
      </c>
      <c r="O50" s="361">
        <f t="shared" si="29"/>
        <v>2.9904373304698417E-2</v>
      </c>
      <c r="P50" s="361">
        <f t="shared" si="40"/>
        <v>-9.1525000000001455</v>
      </c>
      <c r="Q50" s="391">
        <f t="shared" si="40"/>
        <v>6.8958333333333233E-2</v>
      </c>
      <c r="R50" s="361">
        <f t="shared" si="40"/>
        <v>-0.11773878573281849</v>
      </c>
      <c r="T50" s="554"/>
      <c r="U50" s="565" t="s">
        <v>60</v>
      </c>
      <c r="V50" s="706" t="s">
        <v>71</v>
      </c>
      <c r="W50" s="707">
        <f t="shared" si="31"/>
        <v>1.1523687580025681</v>
      </c>
      <c r="X50" s="698">
        <f t="shared" si="32"/>
        <v>-3.8164719278778012</v>
      </c>
      <c r="Y50" s="698">
        <f t="shared" si="33"/>
        <v>-4.912233640091852</v>
      </c>
      <c r="Z50" s="698">
        <f t="shared" si="41"/>
        <v>-2.5667242813260089</v>
      </c>
      <c r="AA50" s="698">
        <f t="shared" si="41"/>
        <v>-1.0304347826086766</v>
      </c>
      <c r="AB50" s="698">
        <f t="shared" si="41"/>
        <v>-1.0769495651241003</v>
      </c>
      <c r="AC50" s="554"/>
      <c r="AD50" s="571" t="s">
        <v>61</v>
      </c>
      <c r="AE50" s="706" t="s">
        <v>74</v>
      </c>
      <c r="AF50" s="707">
        <f t="shared" si="35"/>
        <v>-0.15243902439023527</v>
      </c>
      <c r="AG50" s="698">
        <f t="shared" si="36"/>
        <v>0.67681830621575345</v>
      </c>
      <c r="AH50" s="698">
        <f t="shared" si="37"/>
        <v>0.83052337233211238</v>
      </c>
      <c r="AI50" s="698">
        <f t="shared" si="25"/>
        <v>-0.23870985830637004</v>
      </c>
      <c r="AJ50" s="698">
        <f t="shared" si="25"/>
        <v>8.2687984011990903</v>
      </c>
      <c r="AK50" s="698">
        <f t="shared" si="25"/>
        <v>-0.66656830032988434</v>
      </c>
    </row>
    <row r="51" spans="1:37" ht="16" thickBot="1">
      <c r="A51" s="313"/>
      <c r="B51" s="322" t="s">
        <v>60</v>
      </c>
      <c r="C51" s="328" t="s">
        <v>72</v>
      </c>
      <c r="D51" s="711">
        <f t="shared" si="26"/>
        <v>1.0999999999999943</v>
      </c>
      <c r="E51" s="361">
        <f t="shared" si="38"/>
        <v>-5.7893614929858472</v>
      </c>
      <c r="F51" s="361">
        <f t="shared" si="39"/>
        <v>-0.1420439608883477</v>
      </c>
      <c r="G51" s="361">
        <f t="shared" si="38"/>
        <v>-194.33503205128136</v>
      </c>
      <c r="H51" s="361">
        <f t="shared" si="38"/>
        <v>8.4294871794873272E-3</v>
      </c>
      <c r="I51" s="361">
        <f t="shared" si="38"/>
        <v>0.47316954422689861</v>
      </c>
      <c r="J51" s="313"/>
      <c r="K51" s="313"/>
      <c r="L51" s="334" t="s">
        <v>76</v>
      </c>
      <c r="M51" s="393">
        <f>AVERAGE(M42:M50)</f>
        <v>0.55714285714285894</v>
      </c>
      <c r="N51" s="393">
        <f>AVERAGE(N42:N50)</f>
        <v>-5.0134194113499815</v>
      </c>
      <c r="O51" s="393">
        <f>AVERAGE(O42:O50)</f>
        <v>-8.5432618483695127E-2</v>
      </c>
      <c r="P51" s="393">
        <f t="shared" ref="P51:Q51" si="42">AVERAGE(P42:P50)</f>
        <v>20.265079365079277</v>
      </c>
      <c r="Q51" s="659">
        <f t="shared" si="42"/>
        <v>1.9583848690991501E-2</v>
      </c>
      <c r="R51" s="393">
        <f>AVERAGE(R44:R50)</f>
        <v>-0.43522691111137696</v>
      </c>
      <c r="T51" s="554"/>
      <c r="U51" s="565" t="s">
        <v>60</v>
      </c>
      <c r="V51" s="706" t="s">
        <v>72</v>
      </c>
      <c r="W51" s="707">
        <f t="shared" si="31"/>
        <v>1.551480959097312</v>
      </c>
      <c r="X51" s="698">
        <f t="shared" si="32"/>
        <v>-2.0239931162265994</v>
      </c>
      <c r="Y51" s="698">
        <f t="shared" si="33"/>
        <v>-3.5208487769509147</v>
      </c>
      <c r="Z51" s="698">
        <f t="shared" si="41"/>
        <v>-4.5639983467618874</v>
      </c>
      <c r="AA51" s="698">
        <f t="shared" si="41"/>
        <v>0.9991641972494667</v>
      </c>
      <c r="AB51" s="698">
        <f t="shared" si="41"/>
        <v>2.462158257400278</v>
      </c>
      <c r="AC51" s="554"/>
      <c r="AD51" s="554"/>
      <c r="AE51" s="572" t="s">
        <v>76</v>
      </c>
      <c r="AF51" s="573">
        <f>AVERAGE(AF44:AF50)</f>
        <v>0.72188396238211328</v>
      </c>
      <c r="AG51" s="573">
        <f t="shared" ref="AG51:AK51" si="43">AVERAGE(AG44:AG50)</f>
        <v>-0.78942798366392675</v>
      </c>
      <c r="AH51" s="573">
        <f>AVERAGE(AH44:AH50)</f>
        <v>-1.4793604240576463</v>
      </c>
      <c r="AI51" s="573">
        <f t="shared" si="43"/>
        <v>0.99658316903924493</v>
      </c>
      <c r="AJ51" s="573">
        <f t="shared" si="43"/>
        <v>2.3905341248317273</v>
      </c>
      <c r="AK51" s="573">
        <f t="shared" si="43"/>
        <v>-2.2342618162981083</v>
      </c>
    </row>
    <row r="52" spans="1:37" ht="16" thickBot="1">
      <c r="A52" s="313"/>
      <c r="B52" s="333" t="s">
        <v>60</v>
      </c>
      <c r="C52" s="328" t="s">
        <v>73</v>
      </c>
      <c r="D52" s="711">
        <f t="shared" si="26"/>
        <v>-0.5</v>
      </c>
      <c r="E52" s="361">
        <f t="shared" si="38"/>
        <v>10.300479639020921</v>
      </c>
      <c r="F52" s="361">
        <f t="shared" si="39"/>
        <v>0.17340259061223362</v>
      </c>
      <c r="G52" s="361">
        <f t="shared" si="38"/>
        <v>14.420416666666824</v>
      </c>
      <c r="H52" s="361">
        <f t="shared" si="38"/>
        <v>-6.0416666666663899E-3</v>
      </c>
      <c r="I52" s="361">
        <f t="shared" si="38"/>
        <v>0.64888666935924277</v>
      </c>
      <c r="J52" s="313"/>
      <c r="K52" s="313"/>
      <c r="L52" s="334" t="s">
        <v>13</v>
      </c>
      <c r="M52" s="393">
        <f>STDEVA(M42:M50)</f>
        <v>0.74330343736592452</v>
      </c>
      <c r="N52" s="393">
        <f>STDEVA(N42:N50)</f>
        <v>19.067549718075043</v>
      </c>
      <c r="O52" s="393">
        <f>STDEVA(O42:O50)</f>
        <v>0.25448518989337066</v>
      </c>
      <c r="P52" s="393">
        <f t="shared" ref="P52:Q52" si="44">STDEVA(P42:P50)</f>
        <v>244.23636375827203</v>
      </c>
      <c r="Q52" s="659">
        <f t="shared" si="44"/>
        <v>4.6356609902153484E-2</v>
      </c>
      <c r="R52" s="393">
        <f>STDEVA(R44:R50)</f>
        <v>0.38013402758874548</v>
      </c>
      <c r="T52" s="554"/>
      <c r="U52" s="571" t="s">
        <v>60</v>
      </c>
      <c r="V52" s="706" t="s">
        <v>73</v>
      </c>
      <c r="W52" s="707">
        <f t="shared" si="31"/>
        <v>-0.70126227208976166</v>
      </c>
      <c r="X52" s="698">
        <f t="shared" si="32"/>
        <v>3.6547514970217998</v>
      </c>
      <c r="Y52" s="698">
        <f t="shared" si="33"/>
        <v>4.38677657821545</v>
      </c>
      <c r="Z52" s="698">
        <f t="shared" si="41"/>
        <v>0.33948178339710899</v>
      </c>
      <c r="AA52" s="698">
        <f t="shared" si="41"/>
        <v>-0.68671560502009643</v>
      </c>
      <c r="AB52" s="698">
        <f t="shared" si="41"/>
        <v>3.4470896497621513</v>
      </c>
      <c r="AC52" s="554"/>
      <c r="AD52" s="554"/>
      <c r="AE52" s="572" t="s">
        <v>13</v>
      </c>
      <c r="AF52" s="573">
        <f>STDEVA(AF44:AF50)</f>
        <v>1.0377419104105494</v>
      </c>
      <c r="AG52" s="573">
        <f t="shared" ref="AG52:AK52" si="45">STDEVA(AG44:AG50)</f>
        <v>8.0066006439374515</v>
      </c>
      <c r="AH52" s="573">
        <f>STDEVA(AH44:AH50)</f>
        <v>8.2089160027634698</v>
      </c>
      <c r="AI52" s="573">
        <f t="shared" si="45"/>
        <v>7.486293438505955</v>
      </c>
      <c r="AJ52" s="573">
        <f t="shared" si="45"/>
        <v>6.0590040920765658</v>
      </c>
      <c r="AK52" s="573">
        <f t="shared" si="45"/>
        <v>1.9277814008705245</v>
      </c>
    </row>
    <row r="53" spans="1:37">
      <c r="A53" s="313"/>
      <c r="B53" s="313"/>
      <c r="C53" s="401" t="s">
        <v>76</v>
      </c>
      <c r="D53" s="393">
        <f>AVERAGE(D44:D52)</f>
        <v>0.54444444444444351</v>
      </c>
      <c r="E53" s="393">
        <f>AVERAGE(E44:E52)</f>
        <v>-8.6328417036962879</v>
      </c>
      <c r="F53" s="393">
        <f>AVERAGE(F44:F52)</f>
        <v>-0.14885949017603822</v>
      </c>
      <c r="G53" s="393">
        <f>AVERAGE(G44:G47,G49:G52)</f>
        <v>-110.08875478927501</v>
      </c>
      <c r="H53" s="393">
        <f t="shared" ref="H53:I53" si="46">AVERAGE(H44:H47,H49:H52)</f>
        <v>-1.131214176995278E-2</v>
      </c>
      <c r="I53" s="393">
        <f t="shared" si="46"/>
        <v>-7.8964669696964584E-2</v>
      </c>
      <c r="J53" s="313"/>
      <c r="K53" s="313"/>
      <c r="L53" s="334" t="s">
        <v>14</v>
      </c>
      <c r="M53" s="393">
        <f>M52/SQRT(COUNT(M42:M50))</f>
        <v>0.28094229198995879</v>
      </c>
      <c r="N53" s="393">
        <f>N52/SQRT(COUNT(N42:N50))</f>
        <v>7.2068563807694721</v>
      </c>
      <c r="O53" s="393">
        <f>O52/SQRT(COUNT(O42:O50))</f>
        <v>9.6186360686700959E-2</v>
      </c>
      <c r="P53" s="393">
        <f t="shared" ref="P53:Q53" si="47">P52/SQRT(COUNT(P42:P50))</f>
        <v>92.312668517585209</v>
      </c>
      <c r="Q53" s="659">
        <f t="shared" si="47"/>
        <v>1.7521151632161766E-2</v>
      </c>
      <c r="R53" s="393">
        <f>R52/SQRT(COUNT(R42:R50))</f>
        <v>0.14367715741045523</v>
      </c>
      <c r="T53" s="554"/>
      <c r="U53" s="554"/>
      <c r="V53" s="660" t="s">
        <v>76</v>
      </c>
      <c r="W53" s="573">
        <f>AVERAGE(W44:W52)</f>
        <v>0.75074260121005254</v>
      </c>
      <c r="X53" s="573">
        <f>AVERAGE(X44:X52)</f>
        <v>-2.7306520235670382</v>
      </c>
      <c r="Y53" s="573">
        <f>AVERAGE(Y44:Y52)</f>
        <v>-3.4432810246980456</v>
      </c>
      <c r="Z53" s="573">
        <f>AVERAGE(Z44:Z47,Z49:Z52)</f>
        <v>-2.593229737700617</v>
      </c>
      <c r="AA53" s="573">
        <f t="shared" ref="AA53" si="48">AVERAGE(AA44:AA47,AA49:AA52)</f>
        <v>-1.2111818920935129</v>
      </c>
      <c r="AB53" s="573">
        <f>AVERAGE(AB44:AB47,AB49:AB52)</f>
        <v>-0.36932876631695671</v>
      </c>
      <c r="AC53" s="554"/>
      <c r="AD53" s="554"/>
      <c r="AE53" s="572" t="s">
        <v>14</v>
      </c>
      <c r="AF53" s="573">
        <f>AF52/SQRT(COUNT(AF44:AF50))</f>
        <v>0.392229574287912</v>
      </c>
      <c r="AG53" s="573">
        <f t="shared" ref="AG53:AK53" si="49">AG52/SQRT(COUNT(AG44:AG50))</f>
        <v>3.0262105929811582</v>
      </c>
      <c r="AH53" s="573">
        <f t="shared" si="49"/>
        <v>3.1026786109615068</v>
      </c>
      <c r="AI53" s="573">
        <f t="shared" si="49"/>
        <v>2.829552954277339</v>
      </c>
      <c r="AJ53" s="573">
        <f t="shared" si="49"/>
        <v>2.2900882886224703</v>
      </c>
      <c r="AK53" s="573">
        <f t="shared" si="49"/>
        <v>0.72863288125701753</v>
      </c>
    </row>
    <row r="54" spans="1:37" ht="16" thickBot="1">
      <c r="A54" s="313"/>
      <c r="B54" s="313"/>
      <c r="C54" s="401" t="s">
        <v>13</v>
      </c>
      <c r="D54" s="393">
        <f>STDEVA(D44:D52)</f>
        <v>0.69661881813354609</v>
      </c>
      <c r="E54" s="393">
        <f>STDEVA(E44:E52)</f>
        <v>14.783769342422328</v>
      </c>
      <c r="F54" s="393">
        <f>STDEVA(F44:F52)</f>
        <v>0.2089961455281788</v>
      </c>
      <c r="G54" s="393">
        <f>STDEVA(G44:G47,G49:G52)</f>
        <v>198.3044225701953</v>
      </c>
      <c r="H54" s="393">
        <f t="shared" ref="H54:I54" si="50">STDEVA(H44:H47,H49:H52)</f>
        <v>2.160686925211425E-2</v>
      </c>
      <c r="I54" s="393">
        <f t="shared" si="50"/>
        <v>0.4268964478866239</v>
      </c>
      <c r="J54" s="313"/>
      <c r="K54" s="313"/>
      <c r="L54" s="373" t="s">
        <v>99</v>
      </c>
      <c r="M54" s="395">
        <f>M51/M13</f>
        <v>6.1983338515284002E-2</v>
      </c>
      <c r="N54" s="395">
        <f>N51/N13</f>
        <v>-9.4496204909956596E-2</v>
      </c>
      <c r="O54" s="395">
        <f>O51/O13</f>
        <v>-0.16286750043647266</v>
      </c>
      <c r="P54" s="395">
        <f>P51/P13</f>
        <v>3.3467891305141856E-2</v>
      </c>
      <c r="Q54" s="709">
        <f t="shared" ref="Q54:R54" si="51">Q51/Q13</f>
        <v>0.56168481565013684</v>
      </c>
      <c r="R54" s="395">
        <f t="shared" si="51"/>
        <v>-0.4126408928090578</v>
      </c>
      <c r="T54" s="554"/>
      <c r="U54" s="554"/>
      <c r="V54" s="660" t="s">
        <v>13</v>
      </c>
      <c r="W54" s="573">
        <f>STDEVA(W44:W52)</f>
        <v>0.97843103704533396</v>
      </c>
      <c r="X54" s="573">
        <f>STDEVA(X44:X52)</f>
        <v>4.5492148286724925</v>
      </c>
      <c r="Y54" s="573">
        <f>STDEVA(Y44:Y52)</f>
        <v>4.7468097321737455</v>
      </c>
      <c r="Z54" s="573">
        <f>STDEVA(Z44:Z47,Z49:Z52)</f>
        <v>4.2567154330895081</v>
      </c>
      <c r="AA54" s="573">
        <f t="shared" ref="AA54:AB54" si="52">STDEVA(AA44:AA47,AA49:AA52)</f>
        <v>2.3549146455018843</v>
      </c>
      <c r="AB54" s="573">
        <f t="shared" si="52"/>
        <v>2.209562007291086</v>
      </c>
      <c r="AC54" s="554"/>
      <c r="AD54" s="554"/>
      <c r="AE54" s="699" t="s">
        <v>99</v>
      </c>
      <c r="AF54" s="700">
        <f t="shared" ref="AF54" si="53">(M31-M12)/M13</f>
        <v>6.1983338515284571E-2</v>
      </c>
      <c r="AG54" s="700">
        <f>(N31-N12)/N13</f>
        <v>-9.4496204909955084E-2</v>
      </c>
      <c r="AH54" s="1010">
        <f>(O31-O12)/O13</f>
        <v>-0.16286750043647216</v>
      </c>
      <c r="AI54" s="700">
        <f t="shared" ref="AI54:AK54" si="54">(P31-P12)/P13</f>
        <v>3.3467891305141634E-2</v>
      </c>
      <c r="AJ54" s="700">
        <f t="shared" si="54"/>
        <v>0.56168481565013684</v>
      </c>
      <c r="AK54" s="700">
        <f t="shared" si="54"/>
        <v>-0.41264089280905586</v>
      </c>
    </row>
    <row r="55" spans="1:37">
      <c r="A55" s="313"/>
      <c r="B55" s="313"/>
      <c r="C55" s="401" t="s">
        <v>14</v>
      </c>
      <c r="D55" s="393">
        <f>D54/SQRT(COUNT(D44:D52))</f>
        <v>0.23220627271118202</v>
      </c>
      <c r="E55" s="393">
        <f>E54/SQRT(COUNT(E44:E52))</f>
        <v>4.9279231141407758</v>
      </c>
      <c r="F55" s="393">
        <f>F54/SQRT(COUNT(F44:F52))</f>
        <v>6.9665381842726262E-2</v>
      </c>
      <c r="G55" s="393">
        <f>G54/SQRT(COUNT(G44:G52))</f>
        <v>70.111200969333865</v>
      </c>
      <c r="H55" s="393">
        <f t="shared" ref="H55:I55" si="55">H54/SQRT(COUNT(H44:H52))</f>
        <v>7.6391818841905464E-3</v>
      </c>
      <c r="I55" s="393">
        <f t="shared" si="55"/>
        <v>0.15093068658254066</v>
      </c>
      <c r="J55" s="313"/>
      <c r="K55" s="313"/>
      <c r="L55" s="338" t="s">
        <v>100</v>
      </c>
      <c r="M55" s="338"/>
      <c r="N55" s="393">
        <f>SQRT((((7-1)*(N13^2)+((9-1)*E15^2))/(9+7-2)))</f>
        <v>47.341149024418094</v>
      </c>
      <c r="O55" s="393"/>
      <c r="P55" s="393">
        <f>SQRT((((7-1)*(P13^2)+((8-1)*G15^2))/(8+7-2)))</f>
        <v>607.52890085940487</v>
      </c>
      <c r="Q55" s="659">
        <f>SQRT((((7-1)*(Q13^2)+((8-1)*H15^2))/(8+7-2)))</f>
        <v>3.3416049047254238E-2</v>
      </c>
      <c r="R55" s="393">
        <f>SQRT((((7-1)*(R13^2)+((8-1)*I15^2))/(8+7-2)))</f>
        <v>0.80878276213964684</v>
      </c>
      <c r="T55" s="554"/>
      <c r="U55" s="554"/>
      <c r="V55" s="660" t="s">
        <v>14</v>
      </c>
      <c r="W55" s="573">
        <f>W54/SQRT(COUNT(W44:W52))</f>
        <v>0.32614367901511132</v>
      </c>
      <c r="X55" s="573">
        <f>X54/SQRT(COUNT(X44:X52))</f>
        <v>1.5164049428908308</v>
      </c>
      <c r="Y55" s="573">
        <f>Y54/SQRT(COUNT(Y44:Y52))</f>
        <v>1.5822699107245819</v>
      </c>
      <c r="Z55" s="573">
        <f>Z54/SQRT(COUNT(Z44:Z52))</f>
        <v>1.5049761741595111</v>
      </c>
      <c r="AA55" s="573">
        <f t="shared" ref="AA55:AB55" si="56">AA54/SQRT(COUNT(AA44:AA52))</f>
        <v>0.83258805747494846</v>
      </c>
      <c r="AB55" s="573">
        <f t="shared" si="56"/>
        <v>0.78119813940384331</v>
      </c>
      <c r="AC55" s="554"/>
      <c r="AD55" s="554"/>
      <c r="AE55" s="701"/>
      <c r="AF55" s="701"/>
      <c r="AG55" s="573"/>
      <c r="AH55" s="573"/>
      <c r="AI55" s="573"/>
      <c r="AJ55" s="573"/>
      <c r="AK55" s="573"/>
    </row>
    <row r="56" spans="1:37" ht="16" thickBot="1">
      <c r="A56" s="313"/>
      <c r="B56" s="313"/>
      <c r="C56" s="373" t="s">
        <v>99</v>
      </c>
      <c r="D56" s="395">
        <f>D53/D15</f>
        <v>0.11270064591742775</v>
      </c>
      <c r="E56" s="395">
        <f>E53/E15</f>
        <v>-0.2028584245567871</v>
      </c>
      <c r="F56" s="395">
        <f>F53/F15</f>
        <v>-0.34219216953081155</v>
      </c>
      <c r="G56" s="395">
        <f t="shared" ref="G56:I56" si="57">G53/G15</f>
        <v>-0.18069385089398843</v>
      </c>
      <c r="H56" s="395">
        <f t="shared" si="57"/>
        <v>-0.35217342474597102</v>
      </c>
      <c r="I56" s="395">
        <f t="shared" si="57"/>
        <v>-0.15448582519110415</v>
      </c>
      <c r="J56" s="313"/>
      <c r="K56" s="313"/>
      <c r="L56" s="338" t="s">
        <v>101</v>
      </c>
      <c r="M56" s="338"/>
      <c r="N56" s="393">
        <f>(N51-E53)/N55</f>
        <v>7.6454044038505364E-2</v>
      </c>
      <c r="O56" s="393"/>
      <c r="P56" s="393">
        <f>(P51-G53)/P55</f>
        <v>0.2145640050538451</v>
      </c>
      <c r="Q56" s="659">
        <f>(Q51-H53)/Q55</f>
        <v>0.92458538163065607</v>
      </c>
      <c r="R56" s="393">
        <f>(R51-I53)/R55</f>
        <v>-0.44049188248265247</v>
      </c>
      <c r="T56" s="554"/>
      <c r="U56" s="554"/>
      <c r="V56" s="699" t="s">
        <v>99</v>
      </c>
      <c r="W56" s="823">
        <f>(D33-D14)/D15</f>
        <v>0.11270064591742644</v>
      </c>
      <c r="X56" s="823">
        <f t="shared" ref="X56:AB56" si="58">(E33-E14)/E15</f>
        <v>-0.20285842455678671</v>
      </c>
      <c r="Y56" s="1011">
        <f>(F33-F14)/F15</f>
        <v>-0.34219216953081172</v>
      </c>
      <c r="Z56" s="823">
        <f t="shared" si="58"/>
        <v>-0.1806938508939874</v>
      </c>
      <c r="AA56" s="823">
        <f t="shared" si="58"/>
        <v>-0.35217342474597407</v>
      </c>
      <c r="AB56" s="823">
        <f t="shared" si="58"/>
        <v>-0.15448582519110587</v>
      </c>
      <c r="AC56" s="554"/>
      <c r="AD56" s="554"/>
      <c r="AE56" s="701"/>
      <c r="AF56" s="701"/>
      <c r="AG56" s="573"/>
      <c r="AH56" s="573"/>
      <c r="AI56" s="573"/>
      <c r="AJ56" s="573"/>
      <c r="AK56" s="573"/>
    </row>
    <row r="57" spans="1:37">
      <c r="A57" s="313"/>
      <c r="B57" s="313"/>
      <c r="C57" s="338" t="s">
        <v>100</v>
      </c>
      <c r="D57" s="338"/>
      <c r="E57" s="393">
        <f>SQRT((((7-1)*(N13^2)+((9-1)*E15^2))/(9+7-2)))</f>
        <v>47.341149024418094</v>
      </c>
      <c r="F57" s="393">
        <f>SQRT((((7-1)*(O13^2)+((9-1)*F15^2))/(9+7-2)))</f>
        <v>0.47545875260973941</v>
      </c>
      <c r="G57" s="393">
        <f t="shared" ref="G57:I57" si="59">SQRT((((7-1)*(P13^2)+((9-1)*G15^2))/(9+7-2)))</f>
        <v>607.65240487679955</v>
      </c>
      <c r="H57" s="393">
        <f t="shared" si="59"/>
        <v>3.3325210519829833E-2</v>
      </c>
      <c r="I57" s="393">
        <f t="shared" si="59"/>
        <v>0.79124465814555833</v>
      </c>
      <c r="J57" s="313"/>
      <c r="K57" s="313"/>
      <c r="L57" s="313"/>
      <c r="M57" s="313"/>
      <c r="N57" s="313"/>
      <c r="O57" s="313"/>
      <c r="P57" s="313"/>
      <c r="Q57" s="313"/>
      <c r="R57" s="313"/>
      <c r="T57" s="554"/>
      <c r="U57" s="554"/>
      <c r="V57" s="701"/>
      <c r="W57" s="701"/>
      <c r="X57" s="573"/>
      <c r="Y57" s="573"/>
      <c r="Z57" s="573"/>
      <c r="AA57" s="573"/>
      <c r="AB57" s="573"/>
      <c r="AC57" s="554"/>
      <c r="AD57" s="554"/>
      <c r="AE57" s="554"/>
      <c r="AF57" s="554"/>
      <c r="AG57" s="554"/>
      <c r="AH57" s="554"/>
      <c r="AI57" s="554"/>
      <c r="AJ57" s="554"/>
      <c r="AK57" s="554"/>
    </row>
    <row r="58" spans="1:37">
      <c r="A58" s="313"/>
      <c r="B58" s="313"/>
      <c r="C58" s="338" t="s">
        <v>101</v>
      </c>
      <c r="D58" s="338"/>
      <c r="E58" s="393">
        <f>(N51-E53)/E57</f>
        <v>7.6454044038505364E-2</v>
      </c>
      <c r="F58" s="824">
        <f>(O51-F53)/F57</f>
        <v>0.13340141777641101</v>
      </c>
      <c r="G58" s="393">
        <f>(P51-G53)/G57</f>
        <v>0.21452039539082102</v>
      </c>
      <c r="H58" s="393">
        <f>(Q51-H53)/H57</f>
        <v>0.92710563501346621</v>
      </c>
      <c r="I58" s="393">
        <f>(R51-I53)/I57</f>
        <v>-0.45025547755277728</v>
      </c>
      <c r="J58" s="313"/>
      <c r="K58" s="313"/>
      <c r="L58" s="313"/>
      <c r="M58" s="313"/>
      <c r="N58" s="313"/>
      <c r="O58" s="313"/>
      <c r="P58" s="313"/>
      <c r="Q58" s="313"/>
      <c r="R58" s="313"/>
      <c r="T58" s="554"/>
      <c r="U58" s="554"/>
      <c r="V58" s="701"/>
      <c r="W58" s="701"/>
      <c r="X58" s="573"/>
      <c r="Y58" s="573"/>
      <c r="Z58" s="573"/>
      <c r="AA58" s="573"/>
      <c r="AB58" s="573"/>
      <c r="AC58" s="554"/>
      <c r="AD58" s="554"/>
      <c r="AE58" s="554"/>
      <c r="AF58" s="554"/>
      <c r="AG58" s="554"/>
      <c r="AH58" s="554"/>
      <c r="AI58" s="554"/>
      <c r="AJ58" s="554"/>
      <c r="AK58" s="554"/>
    </row>
    <row r="60" spans="1:37">
      <c r="L60" s="283" t="s">
        <v>168</v>
      </c>
      <c r="M60" s="283"/>
    </row>
  </sheetData>
  <mergeCells count="13">
    <mergeCell ref="K22:L23"/>
    <mergeCell ref="K2:L2"/>
    <mergeCell ref="K3:L4"/>
    <mergeCell ref="B2:C2"/>
    <mergeCell ref="B3:C4"/>
    <mergeCell ref="B21:C21"/>
    <mergeCell ref="B22:C23"/>
    <mergeCell ref="U41:V41"/>
    <mergeCell ref="U42:V43"/>
    <mergeCell ref="AD42:AE43"/>
    <mergeCell ref="B41:C41"/>
    <mergeCell ref="B42:C43"/>
    <mergeCell ref="K42:L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zoomScale="75" zoomScaleNormal="90" workbookViewId="0">
      <selection activeCell="L57" sqref="L57"/>
    </sheetView>
  </sheetViews>
  <sheetFormatPr baseColWidth="10" defaultRowHeight="15.5"/>
  <cols>
    <col min="27" max="27" width="15.5" bestFit="1" customWidth="1"/>
  </cols>
  <sheetData>
    <row r="1" spans="2:30" ht="16" thickBot="1"/>
    <row r="2" spans="2:30" ht="16" thickBot="1">
      <c r="B2" s="1331" t="s">
        <v>47</v>
      </c>
      <c r="C2" s="1332"/>
      <c r="D2" s="190"/>
      <c r="P2" s="1331" t="s">
        <v>47</v>
      </c>
      <c r="Q2" s="1332"/>
    </row>
    <row r="3" spans="2:30" ht="16" thickBot="1">
      <c r="B3" s="1344" t="s">
        <v>77</v>
      </c>
      <c r="C3" s="1391"/>
      <c r="D3" s="194" t="s">
        <v>19</v>
      </c>
      <c r="E3" s="1404" t="s">
        <v>134</v>
      </c>
      <c r="F3" s="1405"/>
      <c r="G3" s="1405"/>
      <c r="H3" s="1406"/>
      <c r="I3" s="1404" t="s">
        <v>140</v>
      </c>
      <c r="J3" s="1405"/>
      <c r="K3" s="1405"/>
      <c r="L3" s="1406"/>
      <c r="M3" s="190"/>
      <c r="P3" s="1344" t="s">
        <v>77</v>
      </c>
      <c r="Q3" s="1391"/>
      <c r="R3" s="194" t="s">
        <v>19</v>
      </c>
      <c r="S3" s="1331" t="s">
        <v>134</v>
      </c>
      <c r="T3" s="1407"/>
      <c r="U3" s="1407"/>
      <c r="V3" s="1332"/>
      <c r="W3" s="1404" t="s">
        <v>140</v>
      </c>
      <c r="X3" s="1405"/>
      <c r="Y3" s="1405"/>
      <c r="Z3" s="1406"/>
      <c r="AA3" s="190"/>
    </row>
    <row r="4" spans="2:30" ht="16" thickBot="1">
      <c r="B4" s="1336"/>
      <c r="C4" s="1392"/>
      <c r="D4" s="421" t="s">
        <v>139</v>
      </c>
      <c r="E4" s="405" t="s">
        <v>135</v>
      </c>
      <c r="F4" s="406" t="s">
        <v>136</v>
      </c>
      <c r="G4" s="406" t="s">
        <v>137</v>
      </c>
      <c r="H4" s="406" t="s">
        <v>187</v>
      </c>
      <c r="I4" s="402" t="s">
        <v>135</v>
      </c>
      <c r="J4" s="404" t="s">
        <v>136</v>
      </c>
      <c r="K4" s="404" t="s">
        <v>137</v>
      </c>
      <c r="L4" s="403" t="s">
        <v>187</v>
      </c>
      <c r="P4" s="1336"/>
      <c r="Q4" s="1392"/>
      <c r="R4" s="195" t="s">
        <v>139</v>
      </c>
      <c r="S4" s="186" t="s">
        <v>135</v>
      </c>
      <c r="T4" s="197" t="s">
        <v>136</v>
      </c>
      <c r="U4" s="197" t="s">
        <v>137</v>
      </c>
      <c r="V4" s="402" t="s">
        <v>187</v>
      </c>
      <c r="W4" s="402" t="s">
        <v>135</v>
      </c>
      <c r="X4" s="404" t="s">
        <v>136</v>
      </c>
      <c r="Y4" s="404" t="s">
        <v>137</v>
      </c>
      <c r="Z4" s="403" t="s">
        <v>187</v>
      </c>
      <c r="AA4" s="190"/>
      <c r="AD4" s="426" t="s">
        <v>188</v>
      </c>
    </row>
    <row r="5" spans="2:30" ht="16" thickBot="1">
      <c r="B5" s="32" t="s">
        <v>60</v>
      </c>
      <c r="C5" s="133" t="s">
        <v>57</v>
      </c>
      <c r="D5" s="422">
        <f>'[1]Laktatprofil+VO2max'!$I$24</f>
        <v>5905.5</v>
      </c>
      <c r="E5" s="163">
        <f>'[1]VO2 60+20min'!$M$4</f>
        <v>4946.9285714285716</v>
      </c>
      <c r="F5" s="163">
        <f>'[1]VO2 60+20min'!$N$4</f>
        <v>5140.7857142857147</v>
      </c>
      <c r="G5" s="163">
        <f>'[1]VO2 60+20min'!$O$4</f>
        <v>5535.7205882352937</v>
      </c>
      <c r="H5" s="163">
        <f>'Snittwatt 20 min'!G5</f>
        <v>5307.5581395348836</v>
      </c>
      <c r="I5" s="425">
        <f>E5/D5*100</f>
        <v>83.768158012506504</v>
      </c>
      <c r="J5" s="154">
        <f>F5/D5*100</f>
        <v>87.050812196862495</v>
      </c>
      <c r="K5" s="154">
        <f>G5/D5*100</f>
        <v>93.738389437563185</v>
      </c>
      <c r="L5" s="159">
        <f>H5/D5*100</f>
        <v>89.874830912452524</v>
      </c>
      <c r="M5" s="143"/>
      <c r="P5" s="89" t="s">
        <v>61</v>
      </c>
      <c r="Q5" s="133" t="s">
        <v>58</v>
      </c>
      <c r="R5" s="192">
        <f>'[2]Laktatprofil+VO2max'!$I$24</f>
        <v>5439.083333333333</v>
      </c>
      <c r="S5" s="193">
        <f>'[2]VO2 60+20min'!$M$4</f>
        <v>4277.5</v>
      </c>
      <c r="T5" s="193">
        <f>'[2]VO2 60+20min'!$N$4</f>
        <v>4356.4666666666662</v>
      </c>
      <c r="U5" s="193">
        <f>'[2]VO2 60+20min'!$O$4</f>
        <v>4638.9718309859154</v>
      </c>
      <c r="V5" s="193">
        <f>'Snittwatt 20 min'!P5</f>
        <v>4309.8</v>
      </c>
      <c r="W5" s="154">
        <f>S5/R5*100</f>
        <v>78.643766566057394</v>
      </c>
      <c r="X5" s="154">
        <f>T5/R5*100</f>
        <v>80.095604345094912</v>
      </c>
      <c r="Y5" s="154">
        <f>U5/R5*100</f>
        <v>85.289589195224352</v>
      </c>
      <c r="Z5" s="159">
        <f>V5/R5*100</f>
        <v>79.237616632704672</v>
      </c>
      <c r="AA5" s="143"/>
    </row>
    <row r="6" spans="2:30" ht="16" thickBot="1">
      <c r="B6" s="32" t="s">
        <v>60</v>
      </c>
      <c r="C6" s="134" t="s">
        <v>59</v>
      </c>
      <c r="D6" s="423">
        <f>'[3]Laktatprofil+VO2max'!$I$24</f>
        <v>5689.583333333333</v>
      </c>
      <c r="E6" s="163">
        <f>'[3]VO2 60+20min'!$M$4</f>
        <v>4790.4615384615381</v>
      </c>
      <c r="F6" s="163">
        <f>'[3]VO2 60+20min'!$N$4</f>
        <v>4863.416666666667</v>
      </c>
      <c r="G6" s="163">
        <f>'[3]VO2 60+20min'!$O$4</f>
        <v>4991.2777777777774</v>
      </c>
      <c r="H6" s="163">
        <f>'Snittwatt 20 min'!G6</f>
        <v>4984.708333333333</v>
      </c>
      <c r="I6" s="425">
        <f t="shared" ref="I6:I13" si="0">E6/D6*100</f>
        <v>84.197053770103935</v>
      </c>
      <c r="J6" s="154">
        <f t="shared" ref="J6:J13" si="1">F6/D6*100</f>
        <v>85.479311607469796</v>
      </c>
      <c r="K6" s="154">
        <f t="shared" ref="K6:K13" si="2">G6/D6*100</f>
        <v>87.726595874527035</v>
      </c>
      <c r="L6" s="159">
        <f t="shared" ref="L6:L13" si="3">H6/D6*100</f>
        <v>87.611131453679974</v>
      </c>
      <c r="M6" s="143"/>
      <c r="P6" s="32" t="s">
        <v>61</v>
      </c>
      <c r="Q6" s="133" t="s">
        <v>63</v>
      </c>
      <c r="R6" s="198">
        <f>'[4]Laktatprofil+VO2max'!$I$24</f>
        <v>4992.583333333333</v>
      </c>
      <c r="S6" s="163">
        <f>'[4]VO2 60+20min'!$M$4</f>
        <v>3618.7333333333331</v>
      </c>
      <c r="T6" s="163">
        <f>'[4]VO2 60+20min'!$N$4</f>
        <v>3481.705882352941</v>
      </c>
      <c r="U6" s="163">
        <f>'[4]VO2 60+20min'!$O$4</f>
        <v>3492.9285714285716</v>
      </c>
      <c r="V6" s="193">
        <f>'Snittwatt 20 min'!P6</f>
        <v>3539.3958333333335</v>
      </c>
      <c r="W6" s="154">
        <f t="shared" ref="W6:W11" si="4">S6/R6*100</f>
        <v>72.482181903156345</v>
      </c>
      <c r="X6" s="154">
        <f t="shared" ref="X6:X11" si="5">T6/R6*100</f>
        <v>69.737561696909239</v>
      </c>
      <c r="Y6" s="154">
        <f t="shared" ref="Y6:Y11" si="6">U6/R6*100</f>
        <v>69.962348912792066</v>
      </c>
      <c r="Z6" s="159">
        <f t="shared" ref="Z6:Z11" si="7">V6/R6*100</f>
        <v>70.893074727512484</v>
      </c>
      <c r="AA6" s="143"/>
    </row>
    <row r="7" spans="2:30" ht="16" thickBot="1">
      <c r="B7" s="32" t="s">
        <v>60</v>
      </c>
      <c r="C7" s="133" t="s">
        <v>62</v>
      </c>
      <c r="D7" s="424">
        <f>'[5]Laktatprofil+VO2max 28.09'!$I$24</f>
        <v>4685.166666666667</v>
      </c>
      <c r="E7" s="163">
        <f>'[5]VO2 60+20min 29.09'!$M$4</f>
        <v>3296.6470588235293</v>
      </c>
      <c r="F7" s="163">
        <f>'[5]VO2 60+20min 29.09'!$N$4</f>
        <v>3372.5</v>
      </c>
      <c r="G7" s="163">
        <f>'[5]VO2 60+20min 29.09'!$O$4</f>
        <v>3902.6197183098593</v>
      </c>
      <c r="H7" s="163">
        <f>'Snittwatt 20 min'!G7</f>
        <v>3673.4583333333335</v>
      </c>
      <c r="I7" s="425">
        <f t="shared" si="0"/>
        <v>70.363495972897354</v>
      </c>
      <c r="J7" s="154">
        <f t="shared" si="1"/>
        <v>71.982497954537365</v>
      </c>
      <c r="K7" s="154">
        <f t="shared" si="2"/>
        <v>83.297350894166527</v>
      </c>
      <c r="L7" s="159">
        <f t="shared" si="3"/>
        <v>78.406139945217163</v>
      </c>
      <c r="M7" s="143"/>
      <c r="P7" s="32" t="s">
        <v>61</v>
      </c>
      <c r="Q7" s="133" t="s">
        <v>65</v>
      </c>
      <c r="R7" s="203">
        <f>'[6]Laktatprofil+VO2max'!$I$24</f>
        <v>5998.75</v>
      </c>
      <c r="S7" s="163">
        <f>'[6]VO2 60+20min'!$M$4</f>
        <v>4911.2142857142853</v>
      </c>
      <c r="T7" s="163">
        <f>'[6]VO2 60+20min'!$N$4</f>
        <v>5261.2142857142853</v>
      </c>
      <c r="U7" s="163">
        <f>'[6]VO2 60+20min'!$O$4</f>
        <v>5280.2162162162158</v>
      </c>
      <c r="V7" s="193">
        <f>'Snittwatt 20 min'!P7</f>
        <v>5218.979166666667</v>
      </c>
      <c r="W7" s="154">
        <f t="shared" si="4"/>
        <v>81.870627809365033</v>
      </c>
      <c r="X7" s="154">
        <f t="shared" si="5"/>
        <v>87.705176673711776</v>
      </c>
      <c r="Y7" s="154">
        <f t="shared" si="6"/>
        <v>88.021941508084439</v>
      </c>
      <c r="Z7" s="159">
        <f t="shared" si="7"/>
        <v>87.00111134264084</v>
      </c>
      <c r="AA7" s="143"/>
    </row>
    <row r="8" spans="2:30" ht="16" thickBot="1">
      <c r="B8" s="32" t="s">
        <v>60</v>
      </c>
      <c r="C8" s="133" t="s">
        <v>64</v>
      </c>
      <c r="D8" s="424">
        <f>'[7]Laktatprofil+VO2max'!$I$24</f>
        <v>4239.416666666667</v>
      </c>
      <c r="E8" s="163">
        <f>'[7]VO2 60+20min'!$M$4</f>
        <v>3357</v>
      </c>
      <c r="F8" s="163">
        <f>'[7]VO2 60+20min'!$N$4</f>
        <v>3384.6111111111113</v>
      </c>
      <c r="G8" s="163">
        <f>'[7]VO2 60+20min'!$O$4</f>
        <v>3532.086956521739</v>
      </c>
      <c r="H8" s="163">
        <f>'Snittwatt 20 min'!G8</f>
        <v>3496.7916666666665</v>
      </c>
      <c r="I8" s="425">
        <f t="shared" si="0"/>
        <v>79.185422522752731</v>
      </c>
      <c r="J8" s="154">
        <f t="shared" si="1"/>
        <v>79.836717577759003</v>
      </c>
      <c r="K8" s="154">
        <f t="shared" si="2"/>
        <v>83.315400071277239</v>
      </c>
      <c r="L8" s="159">
        <f t="shared" si="3"/>
        <v>82.482849448626965</v>
      </c>
      <c r="M8" s="143"/>
      <c r="P8" s="33" t="s">
        <v>61</v>
      </c>
      <c r="Q8" s="133" t="s">
        <v>66</v>
      </c>
      <c r="R8" s="203">
        <f>'[8]Laktatprofil+VO2max'!$I$24</f>
        <v>6231.833333333333</v>
      </c>
      <c r="S8" s="163">
        <f>'[8]VO2 60+20min'!$M$4</f>
        <v>5002.6428571428569</v>
      </c>
      <c r="T8" s="163">
        <f>'[8]VO2 60+20min'!$N$4</f>
        <v>4890.4666666666662</v>
      </c>
      <c r="U8" s="163">
        <f>'[8]VO2 60+20min'!$O$4</f>
        <v>4843.7945205479455</v>
      </c>
      <c r="V8" s="193">
        <f>'Snittwatt 20 min'!P8</f>
        <v>4946.8125</v>
      </c>
      <c r="W8" s="154">
        <f t="shared" si="4"/>
        <v>80.275620183619438</v>
      </c>
      <c r="X8" s="154">
        <f t="shared" si="5"/>
        <v>78.475568987189419</v>
      </c>
      <c r="Y8" s="154">
        <f t="shared" si="6"/>
        <v>77.726637755844123</v>
      </c>
      <c r="Z8" s="159">
        <f t="shared" si="7"/>
        <v>79.379730416410368</v>
      </c>
      <c r="AA8" s="143"/>
    </row>
    <row r="9" spans="2:30" ht="16" thickBot="1">
      <c r="B9" s="33" t="s">
        <v>60</v>
      </c>
      <c r="C9" s="133" t="s">
        <v>67</v>
      </c>
      <c r="D9" s="424">
        <f>'[9]Laktatprofil+VO2max'!$I$24</f>
        <v>5520.916666666667</v>
      </c>
      <c r="E9" s="163">
        <f>'[9]VO2 60+20min'!$M$4</f>
        <v>4643.909090909091</v>
      </c>
      <c r="F9" s="163">
        <f>'[9]VO2 60+20min'!$N$4</f>
        <v>4773.333333333333</v>
      </c>
      <c r="G9" s="9"/>
      <c r="H9" s="163"/>
      <c r="I9" s="425">
        <f t="shared" si="0"/>
        <v>84.114819536171666</v>
      </c>
      <c r="J9" s="154">
        <f t="shared" si="1"/>
        <v>86.459072315889557</v>
      </c>
      <c r="K9" s="154"/>
      <c r="L9" s="159"/>
      <c r="M9" s="143"/>
      <c r="N9" t="s">
        <v>142</v>
      </c>
      <c r="P9" s="32" t="s">
        <v>61</v>
      </c>
      <c r="Q9" s="133" t="s">
        <v>69</v>
      </c>
      <c r="R9" s="203">
        <f>'[10]CORRECTED Laktatprofil+VO2max'!$I$24</f>
        <v>5659.958333333333</v>
      </c>
      <c r="S9" s="163">
        <f>'[10]VO2 60+20min'!$M$8</f>
        <v>4398.545714285714</v>
      </c>
      <c r="T9" s="163">
        <f>'[10]VO2 60+20min'!$N$8</f>
        <v>4324.4971428571434</v>
      </c>
      <c r="U9" s="163">
        <f>'[10]VO2 60+20min'!$O$8</f>
        <v>4440.8529032258066</v>
      </c>
      <c r="V9" s="193">
        <f>'Snittwatt 20 min'!P9</f>
        <v>4508.7983333333332</v>
      </c>
      <c r="W9" s="154">
        <f t="shared" si="4"/>
        <v>77.713393902235111</v>
      </c>
      <c r="X9" s="154">
        <f t="shared" si="5"/>
        <v>76.405105623989755</v>
      </c>
      <c r="Y9" s="154">
        <f t="shared" si="6"/>
        <v>78.4608762412999</v>
      </c>
      <c r="Z9" s="159">
        <f t="shared" si="7"/>
        <v>79.661334373780718</v>
      </c>
      <c r="AA9" s="143"/>
    </row>
    <row r="10" spans="2:30" ht="16" thickBot="1">
      <c r="B10" s="32" t="s">
        <v>60</v>
      </c>
      <c r="C10" s="133" t="s">
        <v>68</v>
      </c>
      <c r="D10" s="424">
        <f>'[11]Laktatprofil+VO2max'!$I$24</f>
        <v>5106</v>
      </c>
      <c r="E10" s="163">
        <f>'[11]VO2 60+20min'!$M$4</f>
        <v>4046.2307692307691</v>
      </c>
      <c r="F10" s="163">
        <f>'[11]VO2 60+20min'!$N$4</f>
        <v>4207.166666666667</v>
      </c>
      <c r="G10" s="163">
        <f>'[11]VO2 60+20min'!$O$4</f>
        <v>4467.5205479452052</v>
      </c>
      <c r="H10" s="163">
        <f>'Snittwatt 20 min'!G10</f>
        <v>4335.229166666667</v>
      </c>
      <c r="I10" s="425">
        <f t="shared" si="0"/>
        <v>79.244629244629238</v>
      </c>
      <c r="J10" s="154">
        <f t="shared" si="1"/>
        <v>82.396526961744357</v>
      </c>
      <c r="K10" s="154">
        <f t="shared" si="2"/>
        <v>87.495506226893951</v>
      </c>
      <c r="L10" s="159">
        <f t="shared" si="3"/>
        <v>84.904605692649184</v>
      </c>
      <c r="M10" s="143"/>
      <c r="P10" s="32" t="s">
        <v>61</v>
      </c>
      <c r="Q10" s="133" t="s">
        <v>70</v>
      </c>
      <c r="R10" s="203">
        <f>'[13]Laktatprofil+VO2max'!$I$24</f>
        <v>4193.8016666666663</v>
      </c>
      <c r="S10" s="163">
        <f>'[13]VO2 60+20min'!$M$9</f>
        <v>3883.84</v>
      </c>
      <c r="T10" s="163">
        <f>'[13]VO2 60+20min'!$N$9</f>
        <v>4004.5916666666667</v>
      </c>
      <c r="U10" s="163">
        <f>'[13]VO2 60+20min'!$O$9</f>
        <v>3965.088070175439</v>
      </c>
      <c r="V10" s="193">
        <f>'Snittwatt 20 min'!P10</f>
        <v>3975.2061111111111</v>
      </c>
      <c r="W10" s="154">
        <f t="shared" si="4"/>
        <v>92.609052804515883</v>
      </c>
      <c r="X10" s="154">
        <f t="shared" si="5"/>
        <v>95.48834172336079</v>
      </c>
      <c r="Y10" s="154">
        <f t="shared" si="6"/>
        <v>94.546389775436992</v>
      </c>
      <c r="Z10" s="159">
        <f>V10/R10*100</f>
        <v>94.787651564617263</v>
      </c>
      <c r="AA10" s="143"/>
    </row>
    <row r="11" spans="2:30" ht="16" thickBot="1">
      <c r="B11" s="32" t="s">
        <v>60</v>
      </c>
      <c r="C11" s="133" t="s">
        <v>71</v>
      </c>
      <c r="D11" s="424">
        <f>'[14]CORRECTED Laktatprofil+VO2max'!$I$24</f>
        <v>5649.9766666666674</v>
      </c>
      <c r="E11" s="163">
        <f>'[14]VO2 60+20min'!$M$10</f>
        <v>4340.2107692307691</v>
      </c>
      <c r="F11" s="163">
        <f>'[14]VO2 60+20min'!$N$10</f>
        <v>4425.8028571428576</v>
      </c>
      <c r="G11" s="163">
        <f>'[14]VO2 60+20min'!$O$10</f>
        <v>4633.1036065573771</v>
      </c>
      <c r="H11" s="163">
        <f>'Snittwatt 20 min'!G11</f>
        <v>4625.4035294117657</v>
      </c>
      <c r="I11" s="425">
        <f t="shared" si="0"/>
        <v>76.818206964231152</v>
      </c>
      <c r="J11" s="154">
        <f t="shared" si="1"/>
        <v>78.333117431331999</v>
      </c>
      <c r="K11" s="154">
        <f t="shared" si="2"/>
        <v>82.002172396417734</v>
      </c>
      <c r="L11" s="159">
        <f t="shared" si="3"/>
        <v>81.865887282338605</v>
      </c>
      <c r="M11" s="143"/>
      <c r="P11" s="53" t="s">
        <v>61</v>
      </c>
      <c r="Q11" s="133" t="s">
        <v>74</v>
      </c>
      <c r="R11" s="203">
        <f>'[15]CORRECTED Laktatprofil+VO2max'!$I$24</f>
        <v>5254.7733333333335</v>
      </c>
      <c r="S11" s="163">
        <f>'[15]VO2 60+20min'!$M$9</f>
        <v>3666.8661538461542</v>
      </c>
      <c r="T11" s="163">
        <f>'[15]VO2 60+20min'!$N$9</f>
        <v>3905.5346666666669</v>
      </c>
      <c r="U11" s="163">
        <f>'[15]VO2 60+20min'!$O$9</f>
        <v>3772.8454237288138</v>
      </c>
      <c r="V11" s="193">
        <f>'Snittwatt 20 min'!P11</f>
        <v>3834.1525000000001</v>
      </c>
      <c r="W11" s="154">
        <f t="shared" si="4"/>
        <v>69.781623701742049</v>
      </c>
      <c r="X11" s="154">
        <f t="shared" si="5"/>
        <v>74.323561054330284</v>
      </c>
      <c r="Y11" s="154">
        <f t="shared" si="6"/>
        <v>71.798442756721769</v>
      </c>
      <c r="Z11" s="159">
        <f t="shared" si="7"/>
        <v>72.96513582571275</v>
      </c>
      <c r="AA11" s="143"/>
    </row>
    <row r="12" spans="2:30" ht="16" thickBot="1">
      <c r="B12" s="32" t="s">
        <v>60</v>
      </c>
      <c r="C12" s="133" t="s">
        <v>72</v>
      </c>
      <c r="D12" s="424">
        <f>'[16]CORRECTED Laktatprofil+VO2max'!$I$24</f>
        <v>5040.9183333333331</v>
      </c>
      <c r="E12" s="163">
        <f>'[16]VO2 60+20min'!$M$9</f>
        <v>4401.4733333333334</v>
      </c>
      <c r="F12" s="163">
        <f>'[16]VO2 60+20min'!$N$9</f>
        <v>4203.96</v>
      </c>
      <c r="G12" s="163">
        <f>'[16]VO2 60+20min'!$O$9</f>
        <v>4102.792881355932</v>
      </c>
      <c r="H12" s="163">
        <f>'Snittwatt 20 min'!G12</f>
        <v>4257.999615384615</v>
      </c>
      <c r="I12" s="425">
        <f t="shared" si="0"/>
        <v>87.314910543746834</v>
      </c>
      <c r="J12" s="154">
        <f t="shared" si="1"/>
        <v>83.396709131371907</v>
      </c>
      <c r="K12" s="154">
        <f t="shared" si="2"/>
        <v>81.389790709879222</v>
      </c>
      <c r="L12" s="159">
        <f t="shared" si="3"/>
        <v>84.468728390784918</v>
      </c>
      <c r="M12" s="143"/>
      <c r="N12" s="202"/>
      <c r="O12" s="202"/>
      <c r="Q12" s="16" t="s">
        <v>76</v>
      </c>
      <c r="R12" s="179">
        <f>AVERAGE(R5:R11)</f>
        <v>5395.8261904761894</v>
      </c>
      <c r="S12" s="179">
        <f t="shared" ref="S12:Y12" si="8">AVERAGE(S5:S11)</f>
        <v>4251.3346206174774</v>
      </c>
      <c r="T12" s="179">
        <f t="shared" si="8"/>
        <v>4317.7824253701483</v>
      </c>
      <c r="U12" s="179">
        <f t="shared" si="8"/>
        <v>4347.8139337583862</v>
      </c>
      <c r="V12" s="179">
        <f t="shared" si="8"/>
        <v>4333.3063492063493</v>
      </c>
      <c r="W12" s="277">
        <f t="shared" si="8"/>
        <v>79.053752410098767</v>
      </c>
      <c r="X12" s="277">
        <f t="shared" si="8"/>
        <v>80.318702872083733</v>
      </c>
      <c r="Y12" s="277">
        <f t="shared" si="8"/>
        <v>80.829460877914798</v>
      </c>
      <c r="Z12" s="179">
        <f>AVERAGE(Z5:Z11)</f>
        <v>80.560807840482738</v>
      </c>
      <c r="AA12" s="277"/>
    </row>
    <row r="13" spans="2:30" ht="16" thickBot="1">
      <c r="B13" s="53" t="s">
        <v>60</v>
      </c>
      <c r="C13" s="133" t="s">
        <v>73</v>
      </c>
      <c r="D13" s="424">
        <f>'[17]Laktatprofil+VO2max'!$I$24</f>
        <v>5163.1716666666671</v>
      </c>
      <c r="E13" s="163">
        <f>'[17]VO2 60+20min'!$M$13</f>
        <v>3840.2307692307691</v>
      </c>
      <c r="F13" s="163">
        <f>'[17]VO2 60+20min'!$N$13</f>
        <v>3978.0714285714284</v>
      </c>
      <c r="G13" s="163">
        <f>'[17]VO2 60+20min'!$O$13</f>
        <v>4083.2258064516127</v>
      </c>
      <c r="H13" s="163">
        <f>'Snittwatt 20 min'!G13</f>
        <v>4247.7733333333335</v>
      </c>
      <c r="I13" s="425">
        <f t="shared" si="0"/>
        <v>74.377359831423433</v>
      </c>
      <c r="J13" s="154">
        <f t="shared" si="1"/>
        <v>77.047049476463812</v>
      </c>
      <c r="K13" s="154">
        <f t="shared" si="2"/>
        <v>79.083673177338582</v>
      </c>
      <c r="L13" s="159">
        <f t="shared" si="3"/>
        <v>82.270619835417705</v>
      </c>
      <c r="M13" s="143"/>
      <c r="Q13" s="16" t="s">
        <v>13</v>
      </c>
      <c r="R13" s="179">
        <f>STDEVA(R5:R11)</f>
        <v>678.40814884082727</v>
      </c>
      <c r="S13" s="179">
        <f t="shared" ref="S13:Y13" si="9">STDEVA(S5:S11)</f>
        <v>562.59829442844477</v>
      </c>
      <c r="T13" s="179">
        <f t="shared" si="9"/>
        <v>603.68771244938819</v>
      </c>
      <c r="U13" s="179">
        <f t="shared" si="9"/>
        <v>634.65171375972579</v>
      </c>
      <c r="V13" s="179">
        <f t="shared" si="9"/>
        <v>605.50810268604653</v>
      </c>
      <c r="W13" s="277">
        <f t="shared" si="9"/>
        <v>7.3518305621549089</v>
      </c>
      <c r="X13" s="277">
        <f t="shared" si="9"/>
        <v>8.6731709981119351</v>
      </c>
      <c r="Y13" s="277">
        <f t="shared" si="9"/>
        <v>8.8944718400197367</v>
      </c>
      <c r="Z13" s="179">
        <f>STDEVA(Z5:Z11)</f>
        <v>8.1546992568879464</v>
      </c>
      <c r="AA13" s="277"/>
    </row>
    <row r="14" spans="2:30">
      <c r="C14" s="16" t="s">
        <v>76</v>
      </c>
      <c r="D14" s="179">
        <f>AVERAGE(D5:D13)</f>
        <v>5222.2944444444456</v>
      </c>
      <c r="E14" s="179">
        <f t="shared" ref="E14:K14" si="10">AVERAGE(E5:E13)</f>
        <v>4184.7879889609294</v>
      </c>
      <c r="F14" s="179">
        <f t="shared" si="10"/>
        <v>4261.0719753086414</v>
      </c>
      <c r="G14" s="179">
        <f t="shared" si="10"/>
        <v>4406.0434853943498</v>
      </c>
      <c r="H14" s="179">
        <f t="shared" si="10"/>
        <v>4366.1152647080744</v>
      </c>
      <c r="I14" s="179">
        <f t="shared" si="10"/>
        <v>79.931561822051421</v>
      </c>
      <c r="J14" s="179">
        <f t="shared" si="10"/>
        <v>81.331312739270032</v>
      </c>
      <c r="K14" s="179">
        <f t="shared" si="10"/>
        <v>84.756109848507933</v>
      </c>
      <c r="L14" s="179">
        <f>AVERAGE(L5:L13)</f>
        <v>83.985599120145878</v>
      </c>
      <c r="M14" s="916"/>
      <c r="Q14" s="16" t="s">
        <v>14</v>
      </c>
      <c r="R14" s="179">
        <f>R13/SQRT(COUNT(R5:R11))</f>
        <v>256.41417846178865</v>
      </c>
      <c r="S14" s="179">
        <f t="shared" ref="S14:Y14" si="11">S13/SQRT(COUNT(S5:S11))</f>
        <v>212.64216786953719</v>
      </c>
      <c r="T14" s="179">
        <f t="shared" si="11"/>
        <v>228.17250809807891</v>
      </c>
      <c r="U14" s="179">
        <f t="shared" si="11"/>
        <v>239.87580053559768</v>
      </c>
      <c r="V14" s="179">
        <f t="shared" si="11"/>
        <v>228.8605509345486</v>
      </c>
      <c r="W14" s="277">
        <f t="shared" si="11"/>
        <v>2.7787307640780106</v>
      </c>
      <c r="X14" s="277">
        <f t="shared" si="11"/>
        <v>3.2781505056202906</v>
      </c>
      <c r="Y14" s="277">
        <f t="shared" si="11"/>
        <v>3.3617943617084713</v>
      </c>
      <c r="Z14" s="277">
        <f>Z13/SQRT(COUNT(Z5:Z11))</f>
        <v>3.0821866071783894</v>
      </c>
      <c r="AA14" s="277"/>
    </row>
    <row r="15" spans="2:30">
      <c r="C15" s="16" t="s">
        <v>13</v>
      </c>
      <c r="D15" s="179">
        <f>STDEVA(D5:D13)</f>
        <v>531.7057717482636</v>
      </c>
      <c r="E15" s="179">
        <f t="shared" ref="E15:K15" si="12">STDEVA(E5:E13)</f>
        <v>595.9807807950225</v>
      </c>
      <c r="F15" s="179">
        <f t="shared" si="12"/>
        <v>619.50222188445332</v>
      </c>
      <c r="G15" s="179">
        <f t="shared" si="12"/>
        <v>642.2519474273264</v>
      </c>
      <c r="H15" s="179">
        <f t="shared" si="12"/>
        <v>609.25567884356599</v>
      </c>
      <c r="I15" s="179">
        <f t="shared" si="12"/>
        <v>5.4548831091218428</v>
      </c>
      <c r="J15" s="179">
        <f t="shared" si="12"/>
        <v>4.9823597560981359</v>
      </c>
      <c r="K15" s="179">
        <f t="shared" si="12"/>
        <v>4.6645450327103095</v>
      </c>
      <c r="L15" s="179">
        <f>STDEVA(L5:L13)</f>
        <v>3.5802728599089138</v>
      </c>
      <c r="M15" s="916"/>
      <c r="Q15" s="16" t="s">
        <v>99</v>
      </c>
      <c r="Z15" s="821">
        <f>(Z30-Z12)/Z13</f>
        <v>0.23846575262565423</v>
      </c>
    </row>
    <row r="16" spans="2:30">
      <c r="C16" s="16" t="s">
        <v>14</v>
      </c>
      <c r="D16" s="179">
        <f>D15/SQRT(COUNT(D5:D13))</f>
        <v>177.23525724942121</v>
      </c>
      <c r="E16" s="179">
        <f t="shared" ref="E16:K16" si="13">E15/SQRT(COUNT(E5:E13))</f>
        <v>198.66026026500751</v>
      </c>
      <c r="F16" s="179">
        <f t="shared" si="13"/>
        <v>206.50074062815111</v>
      </c>
      <c r="G16" s="179">
        <f t="shared" si="13"/>
        <v>227.07035362806425</v>
      </c>
      <c r="H16" s="179">
        <f t="shared" si="13"/>
        <v>215.40441099334942</v>
      </c>
      <c r="I16" s="179">
        <f t="shared" si="13"/>
        <v>1.8182943697072809</v>
      </c>
      <c r="J16" s="179">
        <f t="shared" si="13"/>
        <v>1.6607865853660453</v>
      </c>
      <c r="K16" s="179">
        <f t="shared" si="13"/>
        <v>1.6491657118897429</v>
      </c>
      <c r="L16" s="179">
        <f>L15/SQRT(COUNT(L5:L13))</f>
        <v>1.2658176088698734</v>
      </c>
      <c r="M16" s="916"/>
    </row>
    <row r="17" spans="2:27">
      <c r="B17" t="s">
        <v>143</v>
      </c>
    </row>
    <row r="18" spans="2:27" ht="16" thickBot="1">
      <c r="D18" s="190"/>
    </row>
    <row r="19" spans="2:27" ht="16" thickBot="1">
      <c r="B19" s="1331" t="s">
        <v>50</v>
      </c>
      <c r="C19" s="1332"/>
    </row>
    <row r="20" spans="2:27" ht="16" thickBot="1">
      <c r="B20" s="1344" t="s">
        <v>77</v>
      </c>
      <c r="C20" s="1391"/>
      <c r="D20" s="194" t="s">
        <v>19</v>
      </c>
      <c r="E20" s="1331" t="s">
        <v>134</v>
      </c>
      <c r="F20" s="1407"/>
      <c r="G20" s="1407"/>
      <c r="H20" s="1332"/>
      <c r="I20" s="1404" t="s">
        <v>140</v>
      </c>
      <c r="J20" s="1405"/>
      <c r="K20" s="1405"/>
      <c r="L20" s="1406"/>
      <c r="M20" s="190"/>
      <c r="P20" s="1331" t="s">
        <v>50</v>
      </c>
      <c r="Q20" s="1332"/>
    </row>
    <row r="21" spans="2:27" ht="16" thickBot="1">
      <c r="B21" s="1336"/>
      <c r="C21" s="1392"/>
      <c r="D21" s="195" t="s">
        <v>139</v>
      </c>
      <c r="E21" s="186" t="s">
        <v>135</v>
      </c>
      <c r="F21" s="197" t="s">
        <v>136</v>
      </c>
      <c r="G21" s="187" t="s">
        <v>137</v>
      </c>
      <c r="H21" s="402" t="s">
        <v>187</v>
      </c>
      <c r="I21" s="402" t="s">
        <v>135</v>
      </c>
      <c r="J21" s="404" t="s">
        <v>136</v>
      </c>
      <c r="K21" s="404" t="s">
        <v>137</v>
      </c>
      <c r="L21" s="403" t="s">
        <v>187</v>
      </c>
      <c r="M21" s="190" t="s">
        <v>80</v>
      </c>
      <c r="P21" s="1344" t="s">
        <v>77</v>
      </c>
      <c r="Q21" s="1391"/>
      <c r="R21" s="194" t="s">
        <v>19</v>
      </c>
      <c r="S21" s="1331" t="s">
        <v>134</v>
      </c>
      <c r="T21" s="1407"/>
      <c r="U21" s="1407"/>
      <c r="V21" s="1332"/>
      <c r="W21" s="1404" t="s">
        <v>140</v>
      </c>
      <c r="X21" s="1405"/>
      <c r="Y21" s="1405"/>
      <c r="Z21" s="1406"/>
      <c r="AA21" s="190"/>
    </row>
    <row r="22" spans="2:27" ht="16" thickBot="1">
      <c r="B22" s="32" t="s">
        <v>60</v>
      </c>
      <c r="C22" s="133" t="s">
        <v>57</v>
      </c>
      <c r="D22" s="192">
        <f>'[18]Laktatprofil+VO2max'!$I$24</f>
        <v>6106.916666666667</v>
      </c>
      <c r="E22" s="193">
        <f>'[18]VO2 60+20min'!$M$4</f>
        <v>5119.666666666667</v>
      </c>
      <c r="F22" s="193">
        <f>'[18]VO2 60+20min'!$N$4</f>
        <v>5392.75</v>
      </c>
      <c r="G22" s="201">
        <f>'[18]VO2 60+20min'!$O$4</f>
        <v>5532.6764705882351</v>
      </c>
      <c r="H22" s="420">
        <f>'Snittwatt 20 min'!G24</f>
        <v>5389.1777777777779</v>
      </c>
      <c r="I22" s="199">
        <f>E22/D22*100</f>
        <v>83.833904179686968</v>
      </c>
      <c r="J22" s="152">
        <f>F22/D22*100</f>
        <v>88.305609759425778</v>
      </c>
      <c r="K22" s="152">
        <f>G22/D22*100</f>
        <v>90.596888292044284</v>
      </c>
      <c r="L22" s="159">
        <f>H22/D22*100</f>
        <v>88.247115065340296</v>
      </c>
      <c r="M22" s="829">
        <f>L22-L5</f>
        <v>-1.6277158471122277</v>
      </c>
      <c r="P22" s="1336"/>
      <c r="Q22" s="1392"/>
      <c r="R22" s="195" t="s">
        <v>139</v>
      </c>
      <c r="S22" s="186" t="s">
        <v>135</v>
      </c>
      <c r="T22" s="197" t="s">
        <v>136</v>
      </c>
      <c r="U22" s="187" t="s">
        <v>137</v>
      </c>
      <c r="V22" s="402" t="s">
        <v>187</v>
      </c>
      <c r="W22" s="402" t="s">
        <v>135</v>
      </c>
      <c r="X22" s="404" t="s">
        <v>136</v>
      </c>
      <c r="Y22" s="404" t="s">
        <v>137</v>
      </c>
      <c r="Z22" s="403" t="s">
        <v>187</v>
      </c>
      <c r="AA22" s="190" t="s">
        <v>190</v>
      </c>
    </row>
    <row r="23" spans="2:27" ht="16" thickBot="1">
      <c r="B23" s="32" t="s">
        <v>60</v>
      </c>
      <c r="C23" s="134" t="s">
        <v>59</v>
      </c>
      <c r="D23" s="198">
        <f>'[20]Laktatprofil+VO2max'!$I$24</f>
        <v>5187.916666666667</v>
      </c>
      <c r="E23" s="163">
        <f>'[20]VO2 60+20min'!$M$4</f>
        <v>4047.4166666666665</v>
      </c>
      <c r="F23" s="163">
        <f>'[20]VO2 60+20min'!$N$4</f>
        <v>4180.25</v>
      </c>
      <c r="G23" s="200">
        <f>'[20]VO2 60+20min'!$O$4</f>
        <v>4723.8028169014087</v>
      </c>
      <c r="H23" s="420">
        <f>'Snittwatt 20 min'!G25</f>
        <v>4501.291666666667</v>
      </c>
      <c r="I23" s="199">
        <f t="shared" ref="I23:I30" si="14">E23/D23*100</f>
        <v>78.016223596498264</v>
      </c>
      <c r="J23" s="152">
        <f t="shared" ref="J23:J30" si="15">F23/D23*100</f>
        <v>80.576660509196046</v>
      </c>
      <c r="K23" s="152">
        <f t="shared" ref="K23:K30" si="16">G23/D23*100</f>
        <v>91.05394555106723</v>
      </c>
      <c r="L23" s="159">
        <f t="shared" ref="L23:L30" si="17">H23/D23*100</f>
        <v>86.764918480443342</v>
      </c>
      <c r="M23" s="829">
        <f t="shared" ref="M23:M30" si="18">L23-L6</f>
        <v>-0.84621297323663214</v>
      </c>
      <c r="P23" s="89" t="s">
        <v>61</v>
      </c>
      <c r="Q23" s="133" t="s">
        <v>58</v>
      </c>
      <c r="R23" s="192">
        <f>'[19]Laktatprofil+VO2max'!$I$24</f>
        <v>5337.25</v>
      </c>
      <c r="S23" s="193">
        <f>'[19]VO2 60+20min'!$M$4</f>
        <v>4296.363636363636</v>
      </c>
      <c r="T23" s="193">
        <f>'[19]VO2 60+20min'!$N$4</f>
        <v>4412.1000000000004</v>
      </c>
      <c r="U23" s="191"/>
      <c r="V23" s="193">
        <f>'Snittwatt 20 min'!P24</f>
        <v>4351</v>
      </c>
      <c r="W23" s="154">
        <f>(S23/R23)*100</f>
        <v>80.497702681411511</v>
      </c>
      <c r="X23" s="154">
        <f>T23/R23*100</f>
        <v>82.666167033584713</v>
      </c>
      <c r="Y23" s="154"/>
      <c r="Z23" s="159">
        <f>V23/R23*100</f>
        <v>81.521382734554322</v>
      </c>
      <c r="AA23" s="143">
        <f>Z23-Z5</f>
        <v>2.2837661018496505</v>
      </c>
    </row>
    <row r="24" spans="2:27" ht="16" thickBot="1">
      <c r="B24" s="32" t="s">
        <v>60</v>
      </c>
      <c r="C24" s="133" t="s">
        <v>62</v>
      </c>
      <c r="D24" s="203">
        <f>'[22]Laktatprofil+VO2max 19.10.18'!$I$24</f>
        <v>4676.583333333333</v>
      </c>
      <c r="E24" s="163">
        <f>'[22]VO2 60+20min 20.10.18'!$M$4</f>
        <v>3331.45</v>
      </c>
      <c r="F24" s="163">
        <f>'[22]VO2 60+20min 20.10.18'!$N$4</f>
        <v>3192.8333333333335</v>
      </c>
      <c r="G24" s="200">
        <f>'[22]VO2 60+20min 20.10.18'!$O$4</f>
        <v>3552.1891891891892</v>
      </c>
      <c r="H24" s="420">
        <f>'Snittwatt 20 min'!G26</f>
        <v>3519.4583333333335</v>
      </c>
      <c r="I24" s="199">
        <f t="shared" si="14"/>
        <v>71.236836009194747</v>
      </c>
      <c r="J24" s="152">
        <f t="shared" si="15"/>
        <v>68.272777490689435</v>
      </c>
      <c r="K24" s="152">
        <f t="shared" si="16"/>
        <v>75.95693128934991</v>
      </c>
      <c r="L24" s="159">
        <f t="shared" si="17"/>
        <v>75.257043069192264</v>
      </c>
      <c r="M24" s="829">
        <f t="shared" si="18"/>
        <v>-3.149096876024899</v>
      </c>
      <c r="P24" s="32" t="s">
        <v>61</v>
      </c>
      <c r="Q24" s="133" t="s">
        <v>63</v>
      </c>
      <c r="R24" s="198">
        <f>'[21]Laktatprofil+VO2max'!$I$24</f>
        <v>5162.833333333333</v>
      </c>
      <c r="S24" s="163">
        <f>'[21]VO2 60+20min'!$M$4</f>
        <v>3649.4166666666665</v>
      </c>
      <c r="T24" s="163">
        <f>'[21]VO2 60+20min'!$N$4</f>
        <v>3893.75</v>
      </c>
      <c r="U24" s="163">
        <f>'[21]VO2 60+20min'!$O$4</f>
        <v>4388.6111111111113</v>
      </c>
      <c r="V24" s="193">
        <f>'Snittwatt 20 min'!P25</f>
        <v>4145</v>
      </c>
      <c r="W24" s="154">
        <f t="shared" ref="W24:W29" si="19">(S24/R24)*100</f>
        <v>70.686315653549414</v>
      </c>
      <c r="X24" s="154">
        <f t="shared" ref="X24:X29" si="20">T24/R24*100</f>
        <v>75.418859153565549</v>
      </c>
      <c r="Y24" s="154">
        <f>U24/R24*100</f>
        <v>85.003927645242186</v>
      </c>
      <c r="Z24" s="159">
        <f t="shared" ref="Z24:Z29" si="21">V24/R24*100</f>
        <v>80.285373018691303</v>
      </c>
      <c r="AA24" s="143">
        <f t="shared" ref="AA24:AA29" si="22">Z24-Z6</f>
        <v>9.3922982911788182</v>
      </c>
    </row>
    <row r="25" spans="2:27" ht="16" thickBot="1">
      <c r="B25" s="32" t="s">
        <v>60</v>
      </c>
      <c r="C25" s="133" t="s">
        <v>64</v>
      </c>
      <c r="D25" s="203">
        <f>'[24]Laktatprofil+VO2max'!$I$24</f>
        <v>4219.75</v>
      </c>
      <c r="E25" s="163">
        <f>'[24]VO2 60+20min'!$M$4</f>
        <v>3483.6666666666665</v>
      </c>
      <c r="F25" s="163">
        <f>'[24]VO2 60+20min'!$N$4</f>
        <v>3483.6666666666665</v>
      </c>
      <c r="G25" s="204">
        <f>'[24]VO2 60+20min'!$O$4</f>
        <v>3238.75</v>
      </c>
      <c r="H25" s="420">
        <f>'Snittwatt 20 min'!G27</f>
        <v>3316.7021276595747</v>
      </c>
      <c r="I25" s="199">
        <f t="shared" si="14"/>
        <v>82.55623358413807</v>
      </c>
      <c r="J25" s="152">
        <f t="shared" si="15"/>
        <v>82.55623358413807</v>
      </c>
      <c r="K25" s="152">
        <f t="shared" si="16"/>
        <v>76.752177261686114</v>
      </c>
      <c r="L25" s="159">
        <f>H25/D25*100</f>
        <v>78.599493516430456</v>
      </c>
      <c r="M25" s="829">
        <f t="shared" si="18"/>
        <v>-3.8833559321965083</v>
      </c>
      <c r="N25" t="s">
        <v>112</v>
      </c>
      <c r="P25" s="32" t="s">
        <v>61</v>
      </c>
      <c r="Q25" s="133" t="s">
        <v>65</v>
      </c>
      <c r="R25" s="203">
        <f>'[23]Laktatprofil+VO2max'!$I$24</f>
        <v>5881.333333333333</v>
      </c>
      <c r="S25" s="163">
        <f>'[23]VO2 60+20min'!$M$4</f>
        <v>5040.5384615384619</v>
      </c>
      <c r="T25" s="163">
        <f>'[23]VO2 60+20min'!$N$4</f>
        <v>5195.0714285714284</v>
      </c>
      <c r="U25" s="163">
        <f>'[23]VO2 60+20min'!$O$4</f>
        <v>5283.2972972972975</v>
      </c>
      <c r="V25" s="193">
        <f>'Snittwatt 20 min'!P26</f>
        <v>5253</v>
      </c>
      <c r="W25" s="154">
        <f t="shared" si="19"/>
        <v>85.704009207749863</v>
      </c>
      <c r="X25" s="154">
        <f t="shared" si="20"/>
        <v>88.331525083395405</v>
      </c>
      <c r="Y25" s="154">
        <f t="shared" ref="Y25:Y29" si="23">U25/R25*100</f>
        <v>89.831624869031359</v>
      </c>
      <c r="Z25" s="159">
        <f t="shared" si="21"/>
        <v>89.316481523464077</v>
      </c>
      <c r="AA25" s="143">
        <f t="shared" si="22"/>
        <v>2.315370180823237</v>
      </c>
    </row>
    <row r="26" spans="2:27" ht="16" thickBot="1">
      <c r="B26" s="33" t="s">
        <v>60</v>
      </c>
      <c r="C26" s="133" t="s">
        <v>67</v>
      </c>
      <c r="D26" s="203">
        <f>'[26]Laktatprofil+VO2max'!$I$24</f>
        <v>5389</v>
      </c>
      <c r="E26" s="163">
        <f>'[26]VO2 60+20min'!$M$4</f>
        <v>4384</v>
      </c>
      <c r="F26" s="163">
        <f>'[26]VO2 60+20min'!$N$4</f>
        <v>4606.75</v>
      </c>
      <c r="G26" s="200">
        <f>'[26]VO2 60+20min'!$O$4</f>
        <v>4551.4444444444443</v>
      </c>
      <c r="H26" s="420">
        <f>'Snittwatt 20 min'!G28</f>
        <v>4517.875</v>
      </c>
      <c r="I26" s="199">
        <f t="shared" si="14"/>
        <v>81.350899981443675</v>
      </c>
      <c r="J26" s="152">
        <f t="shared" si="15"/>
        <v>85.484319910929671</v>
      </c>
      <c r="K26" s="180">
        <f t="shared" si="16"/>
        <v>84.458052411290481</v>
      </c>
      <c r="L26" s="854">
        <f t="shared" si="17"/>
        <v>83.835127110781215</v>
      </c>
      <c r="M26" s="829"/>
      <c r="P26" s="33" t="s">
        <v>61</v>
      </c>
      <c r="Q26" s="133" t="s">
        <v>66</v>
      </c>
      <c r="R26" s="203">
        <f>'[25]Laktatprofil+VO2max'!$I$24</f>
        <v>5794.166666666667</v>
      </c>
      <c r="S26" s="163">
        <f>'[25]VO2 60+20min'!$M$4</f>
        <v>4741.6923076923076</v>
      </c>
      <c r="T26" s="163">
        <f>'[25]VO2 60+20min'!$N$4</f>
        <v>4737.1428571428569</v>
      </c>
      <c r="U26" s="163">
        <f>'[25]VO2 60+20min'!$O$4</f>
        <v>4630.0694444444443</v>
      </c>
      <c r="V26" s="193">
        <f>'Snittwatt 20 min'!P27</f>
        <v>4672</v>
      </c>
      <c r="W26" s="154">
        <f t="shared" si="19"/>
        <v>81.835621591122816</v>
      </c>
      <c r="X26" s="154">
        <f t="shared" si="20"/>
        <v>81.757103819522911</v>
      </c>
      <c r="Y26" s="154">
        <f t="shared" si="23"/>
        <v>79.909151924828606</v>
      </c>
      <c r="Z26" s="159">
        <f t="shared" si="21"/>
        <v>80.632820365309925</v>
      </c>
      <c r="AA26" s="143">
        <f t="shared" si="22"/>
        <v>1.2530899488995573</v>
      </c>
    </row>
    <row r="27" spans="2:27" ht="16" thickBot="1">
      <c r="B27" s="32" t="s">
        <v>60</v>
      </c>
      <c r="C27" s="133" t="s">
        <v>68</v>
      </c>
      <c r="D27" s="203">
        <f>'[28]Laktatprofil+VO2max'!$I$24</f>
        <v>5068.416666666667</v>
      </c>
      <c r="E27" s="163">
        <f>'[28]VO2 60+20min'!$M$4</f>
        <v>4220.083333333333</v>
      </c>
      <c r="F27" s="163">
        <f>'[28]VO2 60+20min'!$N$4</f>
        <v>4425</v>
      </c>
      <c r="G27" s="200">
        <f>'[28]VO2 60+20min'!$O$4</f>
        <v>4536.1944444444443</v>
      </c>
      <c r="H27" s="420">
        <f>'Snittwatt 20 min'!G29</f>
        <v>4489.041666666667</v>
      </c>
      <c r="I27" s="199">
        <f t="shared" si="14"/>
        <v>83.262360040117713</v>
      </c>
      <c r="J27" s="152">
        <f t="shared" si="15"/>
        <v>87.305371499975337</v>
      </c>
      <c r="K27" s="152">
        <f t="shared" si="16"/>
        <v>89.49924094199919</v>
      </c>
      <c r="L27" s="159">
        <f t="shared" si="17"/>
        <v>88.568915341740521</v>
      </c>
      <c r="M27" s="829">
        <f t="shared" si="18"/>
        <v>3.6643096490913365</v>
      </c>
      <c r="P27" s="32" t="s">
        <v>61</v>
      </c>
      <c r="Q27" s="133" t="s">
        <v>69</v>
      </c>
      <c r="R27" s="203">
        <f>'[27]Laktatprofil+VO2max'!$I$24</f>
        <v>5600.51</v>
      </c>
      <c r="S27" s="163"/>
      <c r="T27" s="163">
        <f>'[27]VO2 60+20min'!$N$11</f>
        <v>4257.7550000000001</v>
      </c>
      <c r="U27" s="163">
        <f>'[27]VO2 60+20min'!$O$11</f>
        <v>4281.87</v>
      </c>
      <c r="V27" s="193">
        <f>'Snittwatt 20 min'!P28</f>
        <v>4352</v>
      </c>
      <c r="W27" s="154"/>
      <c r="X27" s="154">
        <f t="shared" si="20"/>
        <v>76.024415633576226</v>
      </c>
      <c r="Y27" s="154">
        <f t="shared" si="23"/>
        <v>76.455001419513579</v>
      </c>
      <c r="Z27" s="159">
        <f t="shared" si="21"/>
        <v>77.707208807769291</v>
      </c>
      <c r="AA27" s="143">
        <f t="shared" si="22"/>
        <v>-1.9541255660114274</v>
      </c>
    </row>
    <row r="28" spans="2:27" ht="16" thickBot="1">
      <c r="B28" s="32" t="s">
        <v>60</v>
      </c>
      <c r="C28" s="133" t="s">
        <v>71</v>
      </c>
      <c r="D28" s="203">
        <f>'[30]CORRECTED Laktatprofil+VO2max'!$I$24</f>
        <v>5883.3533333333335</v>
      </c>
      <c r="E28" s="163">
        <f>'[30]VO2 60+20min'!$M$10</f>
        <v>4401</v>
      </c>
      <c r="F28" s="163">
        <f>'[30]VO2 60+20min'!$N$10</f>
        <v>4134.583333333333</v>
      </c>
      <c r="G28" s="200">
        <f>'[30]VO2 60+20min'!$O$10</f>
        <v>4187.5166666666664</v>
      </c>
      <c r="H28" s="420">
        <f>'Snittwatt 20 min'!G30</f>
        <v>4506.6821739130437</v>
      </c>
      <c r="I28" s="199">
        <f t="shared" si="14"/>
        <v>74.804278285739528</v>
      </c>
      <c r="J28" s="152">
        <f t="shared" si="15"/>
        <v>70.275965067540838</v>
      </c>
      <c r="K28" s="152">
        <f t="shared" si="16"/>
        <v>71.175678722905189</v>
      </c>
      <c r="L28" s="159">
        <f t="shared" si="17"/>
        <v>76.600569752959089</v>
      </c>
      <c r="M28" s="829">
        <f t="shared" si="18"/>
        <v>-5.2653175293795158</v>
      </c>
      <c r="P28" s="32" t="s">
        <v>61</v>
      </c>
      <c r="Q28" s="133" t="s">
        <v>70</v>
      </c>
      <c r="R28" s="203">
        <f>'[29]CORRECTED Laktatprofil+VO2max'!$I$24</f>
        <v>4485.3900000000003</v>
      </c>
      <c r="S28" s="163">
        <f>'[29]VO2 60+20min'!$M$9</f>
        <v>3403.9861538461541</v>
      </c>
      <c r="T28" s="163">
        <f>'[29]VO2 60+20min'!$N$9</f>
        <v>3608.2400000000002</v>
      </c>
      <c r="U28" s="163">
        <f>'[29]VO2 60+20min'!$O$9</f>
        <v>3911.3820338983051</v>
      </c>
      <c r="V28" s="193">
        <f>'Snittwatt 20 min'!P29</f>
        <v>3877</v>
      </c>
      <c r="W28" s="154">
        <f t="shared" si="19"/>
        <v>75.89052799970915</v>
      </c>
      <c r="X28" s="154">
        <f t="shared" si="20"/>
        <v>80.444286895899793</v>
      </c>
      <c r="Y28" s="154">
        <f t="shared" si="23"/>
        <v>87.202718914036566</v>
      </c>
      <c r="Z28" s="159">
        <f t="shared" si="21"/>
        <v>86.436185036306753</v>
      </c>
      <c r="AA28" s="143">
        <f t="shared" si="22"/>
        <v>-8.3514665283105103</v>
      </c>
    </row>
    <row r="29" spans="2:27" ht="16" thickBot="1">
      <c r="B29" s="32" t="s">
        <v>60</v>
      </c>
      <c r="C29" s="133" t="s">
        <v>72</v>
      </c>
      <c r="D29" s="203">
        <f>'[32]CORRECTED Laktatprofil+VO2max'!$I$24</f>
        <v>5208.663333333333</v>
      </c>
      <c r="E29" s="163">
        <f>'[32]VO2 60+20min'!$M$10</f>
        <v>4155.4650000000001</v>
      </c>
      <c r="F29" s="163">
        <f>'[32]VO2 60+20min'!$N$10</f>
        <v>3958.3226666666669</v>
      </c>
      <c r="G29" s="200">
        <f>'[32]VO2 60+20min'!$O$10</f>
        <v>4019.1179310344833</v>
      </c>
      <c r="H29" s="420">
        <f>'Snittwatt 20 min'!G31</f>
        <v>4063.6645833333337</v>
      </c>
      <c r="I29" s="199">
        <f t="shared" si="14"/>
        <v>79.779873147237396</v>
      </c>
      <c r="J29" s="152">
        <f t="shared" si="15"/>
        <v>75.994980158057189</v>
      </c>
      <c r="K29" s="152">
        <f t="shared" si="16"/>
        <v>77.162175280436315</v>
      </c>
      <c r="L29" s="159">
        <f t="shared" si="17"/>
        <v>78.017416816470515</v>
      </c>
      <c r="M29" s="829">
        <f t="shared" si="18"/>
        <v>-6.4513115743144027</v>
      </c>
      <c r="P29" s="53" t="s">
        <v>61</v>
      </c>
      <c r="Q29" s="133" t="s">
        <v>74</v>
      </c>
      <c r="R29" s="203">
        <f>'[31]Laktatprofil+VO2max'!$I$24</f>
        <v>4685.288333333333</v>
      </c>
      <c r="S29" s="163">
        <f>'[31]VO2 60+20min'!$M$10</f>
        <v>3313.1183333333338</v>
      </c>
      <c r="T29" s="163">
        <f>'[31]VO2 60+20min'!$N$10</f>
        <v>3803.0150000000003</v>
      </c>
      <c r="U29" s="163">
        <f>'[31]VO2 60+20min'!$O$10</f>
        <v>4026.0057627118645</v>
      </c>
      <c r="V29" s="193">
        <f>'Snittwatt 20 min'!P30</f>
        <v>3825</v>
      </c>
      <c r="W29" s="154">
        <f t="shared" si="19"/>
        <v>70.713221847250253</v>
      </c>
      <c r="X29" s="154">
        <f t="shared" si="20"/>
        <v>81.169284138685185</v>
      </c>
      <c r="Y29" s="154">
        <f t="shared" si="23"/>
        <v>85.928665991994052</v>
      </c>
      <c r="Z29" s="159">
        <f t="shared" si="21"/>
        <v>81.638518867390957</v>
      </c>
      <c r="AA29" s="143">
        <f t="shared" si="22"/>
        <v>8.673383041678207</v>
      </c>
    </row>
    <row r="30" spans="2:27" ht="16" thickBot="1">
      <c r="B30" s="53" t="s">
        <v>60</v>
      </c>
      <c r="C30" s="133" t="s">
        <v>73</v>
      </c>
      <c r="D30" s="203">
        <f>'[33]CORRECTED Laktatprofil+VO2max'!$I$24</f>
        <v>5384.4466666666676</v>
      </c>
      <c r="E30" s="163">
        <f>'[33]VO2 60+20min'!$M$10</f>
        <v>3856</v>
      </c>
      <c r="F30" s="163">
        <f>'[33]VO2 60+20min'!$N$10</f>
        <v>3980.3333333333335</v>
      </c>
      <c r="G30" s="200">
        <f>'[33]VO2 60+20min'!$O$10</f>
        <v>4135.5762711864409</v>
      </c>
      <c r="H30" s="420">
        <f>'Snittwatt 20 min'!G32</f>
        <v>4262.1937500000004</v>
      </c>
      <c r="I30" s="199">
        <f t="shared" si="14"/>
        <v>71.613672466499182</v>
      </c>
      <c r="J30" s="152">
        <f t="shared" si="15"/>
        <v>73.922792437972575</v>
      </c>
      <c r="K30" s="152">
        <f t="shared" si="16"/>
        <v>76.805965908965703</v>
      </c>
      <c r="L30" s="159">
        <f t="shared" si="17"/>
        <v>79.157507054268649</v>
      </c>
      <c r="M30" s="829">
        <f t="shared" si="18"/>
        <v>-3.1131127811490558</v>
      </c>
      <c r="Q30" s="16" t="s">
        <v>76</v>
      </c>
      <c r="R30" s="179">
        <f>AVERAGE(R23:R29)</f>
        <v>5278.110238095237</v>
      </c>
      <c r="S30" s="179">
        <f t="shared" ref="S30" si="24">AVERAGE(S23:S29)</f>
        <v>4074.1859265734274</v>
      </c>
      <c r="T30" s="179">
        <f t="shared" ref="T30" si="25">AVERAGE(T23:T29)</f>
        <v>4272.4391836734703</v>
      </c>
      <c r="U30" s="179">
        <f t="shared" ref="U30" si="26">AVERAGE(U23:U29)</f>
        <v>4420.205941577171</v>
      </c>
      <c r="V30" s="179">
        <f t="shared" ref="V30" si="27">AVERAGE(V23:V29)</f>
        <v>4353.5714285714284</v>
      </c>
      <c r="W30" s="277">
        <f t="shared" ref="W30" si="28">AVERAGE(W23:W29)</f>
        <v>77.554566496798827</v>
      </c>
      <c r="X30" s="277">
        <f t="shared" ref="X30" si="29">AVERAGE(X23:X29)</f>
        <v>80.830234536889961</v>
      </c>
      <c r="Y30" s="277">
        <f t="shared" ref="Y30" si="30">AVERAGE(Y23:Y29)</f>
        <v>84.055181794107725</v>
      </c>
      <c r="Z30" s="179">
        <f>AVERAGE(Z23:Z29)</f>
        <v>82.505424336212386</v>
      </c>
      <c r="AA30" s="179">
        <f t="shared" ref="AA30" si="31">AVERAGE(AA23:AA29)</f>
        <v>1.9446164957296475</v>
      </c>
    </row>
    <row r="31" spans="2:27">
      <c r="C31" s="16" t="s">
        <v>76</v>
      </c>
      <c r="D31" s="117">
        <f>AVERAGE(D22:D30)</f>
        <v>5236.1162962962962</v>
      </c>
      <c r="E31" s="117">
        <f t="shared" ref="E31" si="32">AVERAGE(E22:E30)</f>
        <v>4110.9720370370369</v>
      </c>
      <c r="F31" s="117">
        <f t="shared" ref="F31" si="33">AVERAGE(F22:F30)</f>
        <v>4150.498814814815</v>
      </c>
      <c r="G31" s="117">
        <f t="shared" ref="G31" si="34">AVERAGE(G22:G30)</f>
        <v>4275.2520260505908</v>
      </c>
      <c r="H31" s="117">
        <f t="shared" ref="H31" si="35">AVERAGE(H22:H30)</f>
        <v>4285.120786594488</v>
      </c>
      <c r="I31" s="117">
        <f t="shared" ref="I31" si="36">AVERAGE(I22:I30)</f>
        <v>78.494920143395063</v>
      </c>
      <c r="J31" s="117">
        <f t="shared" ref="J31" si="37">AVERAGE(J22:J30)</f>
        <v>79.188301157547215</v>
      </c>
      <c r="K31" s="117">
        <f t="shared" ref="K31" si="38">AVERAGE(K22:K30)</f>
        <v>81.495672851082702</v>
      </c>
      <c r="L31" s="117">
        <f>AVERAGE(L22:L30)</f>
        <v>81.672011800847372</v>
      </c>
      <c r="M31" s="117">
        <f>AVERAGE(M22:M25,M27:M30)</f>
        <v>-2.5839767330402381</v>
      </c>
      <c r="Q31" s="16" t="s">
        <v>13</v>
      </c>
      <c r="R31" s="179">
        <f>STDEVA(R23:R29)</f>
        <v>537.08525230105295</v>
      </c>
      <c r="S31" s="179">
        <f t="shared" ref="S31:Y31" si="39">STDEVA(S23:S29)</f>
        <v>726.3037197207592</v>
      </c>
      <c r="T31" s="179">
        <f t="shared" si="39"/>
        <v>561.52258042602148</v>
      </c>
      <c r="U31" s="179">
        <f t="shared" si="39"/>
        <v>494.65139123259917</v>
      </c>
      <c r="V31" s="179">
        <f t="shared" si="39"/>
        <v>493.35378014255929</v>
      </c>
      <c r="W31" s="277">
        <f t="shared" si="39"/>
        <v>6.1668272263845125</v>
      </c>
      <c r="X31" s="277">
        <f t="shared" si="39"/>
        <v>4.3424625069838108</v>
      </c>
      <c r="Y31" s="277">
        <f t="shared" si="39"/>
        <v>4.9525074790909382</v>
      </c>
      <c r="Z31" s="179">
        <f>STDEVA(Z23:Z29)</f>
        <v>3.9795181533435415</v>
      </c>
      <c r="AA31" s="179">
        <f t="shared" ref="AA31" si="40">STDEVA(AA23:AA29)</f>
        <v>6.0921324724786228</v>
      </c>
    </row>
    <row r="32" spans="2:27">
      <c r="C32" s="16" t="s">
        <v>13</v>
      </c>
      <c r="D32" s="117">
        <f>STDEVA(D22:D30)</f>
        <v>570.07258451457358</v>
      </c>
      <c r="E32" s="117">
        <f t="shared" ref="E32:K32" si="41">STDEVA(E22:E30)</f>
        <v>531.53397129583084</v>
      </c>
      <c r="F32" s="117">
        <f t="shared" si="41"/>
        <v>637.91836650013136</v>
      </c>
      <c r="G32" s="117">
        <f t="shared" si="41"/>
        <v>672.37034473746087</v>
      </c>
      <c r="H32" s="117">
        <f t="shared" si="41"/>
        <v>610.75379419481294</v>
      </c>
      <c r="I32" s="117">
        <f t="shared" si="41"/>
        <v>4.8915305404524387</v>
      </c>
      <c r="J32" s="117">
        <f t="shared" si="41"/>
        <v>7.4029029975815446</v>
      </c>
      <c r="K32" s="117">
        <f t="shared" si="41"/>
        <v>7.4789599381564109</v>
      </c>
      <c r="L32" s="117">
        <f>STDEVA(L22:L30)</f>
        <v>5.2130430554517666</v>
      </c>
      <c r="M32" s="117">
        <f>STDEVA(M22:M25,M27:M30)</f>
        <v>3.1031997255651897</v>
      </c>
      <c r="Q32" s="16" t="s">
        <v>14</v>
      </c>
      <c r="R32" s="179">
        <f>R31/SQRT(COUNT(R23:R29))</f>
        <v>202.99914434699531</v>
      </c>
      <c r="S32" s="179">
        <f t="shared" ref="S32" si="42">S31/SQRT(COUNT(S23:S29))</f>
        <v>296.51225193354469</v>
      </c>
      <c r="T32" s="179">
        <f t="shared" ref="T32" si="43">T31/SQRT(COUNT(T23:T29))</f>
        <v>212.2355861935026</v>
      </c>
      <c r="U32" s="179">
        <f t="shared" ref="U32" si="44">U31/SQRT(COUNT(U23:U29))</f>
        <v>201.9405848462801</v>
      </c>
      <c r="V32" s="179">
        <f t="shared" ref="V32" si="45">V31/SQRT(COUNT(V23:V29))</f>
        <v>186.47020151869256</v>
      </c>
      <c r="W32" s="277">
        <f t="shared" ref="W32" si="46">W31/SQRT(COUNT(W23:W29))</f>
        <v>2.5175966727574832</v>
      </c>
      <c r="X32" s="277">
        <f t="shared" ref="X32" si="47">X31/SQRT(COUNT(X23:X29))</f>
        <v>1.6412965530144636</v>
      </c>
      <c r="Y32" s="277">
        <f t="shared" ref="Y32" si="48">Y31/SQRT(COUNT(Y23:Y29))</f>
        <v>2.0218527118483713</v>
      </c>
      <c r="Z32" s="277">
        <f>Z31/SQRT(COUNT(Z23:Z29))</f>
        <v>1.5041164816591448</v>
      </c>
      <c r="AA32" s="179">
        <f t="shared" ref="AA32" si="49">AA31/SQRT(COUNT(AA23:AA29))</f>
        <v>2.3026096394627831</v>
      </c>
    </row>
    <row r="33" spans="2:27">
      <c r="C33" s="16" t="s">
        <v>14</v>
      </c>
      <c r="D33" s="117">
        <f>D32/SQRT(COUNT(D22:D30))</f>
        <v>190.02419483819119</v>
      </c>
      <c r="E33" s="117">
        <f t="shared" ref="E33" si="50">E32/SQRT(COUNT(E22:E30))</f>
        <v>177.17799043194361</v>
      </c>
      <c r="F33" s="117">
        <f t="shared" ref="F33" si="51">F32/SQRT(COUNT(F22:F30))</f>
        <v>212.63945550004379</v>
      </c>
      <c r="G33" s="117">
        <f t="shared" ref="G33" si="52">G32/SQRT(COUNT(G22:G30))</f>
        <v>224.1234482458203</v>
      </c>
      <c r="H33" s="117">
        <f t="shared" ref="H33" si="53">H32/SQRT(COUNT(H22:H30))</f>
        <v>203.58459806493764</v>
      </c>
      <c r="I33" s="117">
        <f t="shared" ref="I33" si="54">I32/SQRT(COUNT(I22:I30))</f>
        <v>1.6305101801508128</v>
      </c>
      <c r="J33" s="117">
        <f t="shared" ref="J33" si="55">J32/SQRT(COUNT(J22:J30))</f>
        <v>2.4676343325271817</v>
      </c>
      <c r="K33" s="117">
        <f t="shared" ref="K33" si="56">K32/SQRT(COUNT(K22:K30))</f>
        <v>2.4929866460521368</v>
      </c>
      <c r="L33" s="117">
        <f t="shared" ref="L33" si="57">L32/SQRT(COUNT(L22:L30))</f>
        <v>1.7376810184839222</v>
      </c>
      <c r="M33" s="117">
        <f>M32/SQRT(COUNT(M22:M25,M27:M30))</f>
        <v>1.0971467846616894</v>
      </c>
      <c r="Q33" s="16" t="s">
        <v>99</v>
      </c>
      <c r="Z33" s="124">
        <f>(Z30-Z12)/Z13</f>
        <v>0.23846575262565423</v>
      </c>
    </row>
    <row r="34" spans="2:27">
      <c r="C34" s="16" t="s">
        <v>99</v>
      </c>
      <c r="L34" s="124">
        <f>(L31-L14)/L15</f>
        <v>-0.64620418884983144</v>
      </c>
      <c r="Q34" s="16" t="s">
        <v>192</v>
      </c>
      <c r="Z34" s="124">
        <f>_xlfn.CONFIDENCE.NORM(0.05,AA31,7)</f>
        <v>4.5130319638018124</v>
      </c>
    </row>
    <row r="35" spans="2:27">
      <c r="B35" t="s">
        <v>141</v>
      </c>
      <c r="C35" s="16" t="s">
        <v>192</v>
      </c>
      <c r="L35" s="124">
        <f>_xlfn.CONFIDENCE.NORM(0.05,M32,7)</f>
        <v>2.2988402853687053</v>
      </c>
      <c r="Q35" s="16" t="s">
        <v>100</v>
      </c>
      <c r="Z35" s="124">
        <f>SQRT((((7-1)*AA31^2)+((9-1)*M32^2))/(9+7-2))</f>
        <v>4.6269648850697083</v>
      </c>
    </row>
    <row r="36" spans="2:27">
      <c r="C36" s="16"/>
      <c r="Q36" s="16" t="s">
        <v>191</v>
      </c>
      <c r="Z36" s="275">
        <f>(AA30-M31)/Z35</f>
        <v>0.9787394850094393</v>
      </c>
      <c r="AA36" s="821">
        <f>(AA30-M31)/Z39</f>
        <v>0.75661312696486882</v>
      </c>
    </row>
    <row r="37" spans="2:27">
      <c r="L37">
        <f>_xlfn.T.TEST(L5:L13,L22:L30,2,1)</f>
        <v>5.0699653064972663E-2</v>
      </c>
      <c r="Q37" s="283" t="s">
        <v>168</v>
      </c>
    </row>
    <row r="38" spans="2:27">
      <c r="Z38">
        <f>_xlfn.T.TEST(Z5:Z11,Z23:Z29,2,1)</f>
        <v>0.43075494022814709</v>
      </c>
    </row>
    <row r="39" spans="2:27">
      <c r="Z39" s="917">
        <f>SQRT((((7-1)*(Z13^2)+((9-1)*L15^2))/(9+7-2)))</f>
        <v>5.9853484791312086</v>
      </c>
    </row>
    <row r="40" spans="2:27">
      <c r="Q40" s="283"/>
    </row>
    <row r="41" spans="2:27">
      <c r="Q41" s="882"/>
    </row>
    <row r="43" spans="2:27" ht="16" thickBot="1"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</row>
    <row r="44" spans="2:27" ht="16" thickBot="1">
      <c r="B44" s="1395"/>
      <c r="C44" s="1396"/>
      <c r="D44" s="401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1395"/>
      <c r="Q44" s="1396"/>
      <c r="R44" s="313"/>
      <c r="S44" s="313"/>
      <c r="T44" s="313"/>
      <c r="U44" s="313"/>
      <c r="V44" s="313"/>
      <c r="W44" s="313"/>
      <c r="X44" s="313"/>
      <c r="Y44" s="313"/>
      <c r="Z44" s="313"/>
      <c r="AA44" s="313"/>
    </row>
    <row r="45" spans="2:27" ht="16" thickBot="1">
      <c r="B45" s="1381" t="s">
        <v>170</v>
      </c>
      <c r="C45" s="1382"/>
      <c r="D45" s="651" t="s">
        <v>19</v>
      </c>
      <c r="E45" s="1408" t="s">
        <v>134</v>
      </c>
      <c r="F45" s="1409"/>
      <c r="G45" s="1409"/>
      <c r="H45" s="1410"/>
      <c r="I45" s="1408" t="s">
        <v>140</v>
      </c>
      <c r="J45" s="1409"/>
      <c r="K45" s="1409"/>
      <c r="L45" s="1410"/>
      <c r="M45" s="313"/>
      <c r="N45" s="313"/>
      <c r="O45" s="313"/>
      <c r="P45" s="1381" t="s">
        <v>170</v>
      </c>
      <c r="Q45" s="1382"/>
      <c r="R45" s="651" t="s">
        <v>19</v>
      </c>
      <c r="S45" s="1395" t="s">
        <v>134</v>
      </c>
      <c r="T45" s="1411"/>
      <c r="U45" s="1411"/>
      <c r="V45" s="1396"/>
      <c r="W45" s="1408" t="s">
        <v>140</v>
      </c>
      <c r="X45" s="1409"/>
      <c r="Y45" s="1409"/>
      <c r="Z45" s="1410"/>
      <c r="AA45" s="313"/>
    </row>
    <row r="46" spans="2:27" ht="16" thickBot="1">
      <c r="B46" s="1383"/>
      <c r="C46" s="1384"/>
      <c r="D46" s="652" t="s">
        <v>139</v>
      </c>
      <c r="E46" s="523" t="s">
        <v>135</v>
      </c>
      <c r="F46" s="653" t="s">
        <v>136</v>
      </c>
      <c r="G46" s="653" t="s">
        <v>137</v>
      </c>
      <c r="H46" s="524" t="s">
        <v>187</v>
      </c>
      <c r="I46" s="523" t="s">
        <v>135</v>
      </c>
      <c r="J46" s="653" t="s">
        <v>136</v>
      </c>
      <c r="K46" s="653" t="s">
        <v>137</v>
      </c>
      <c r="L46" s="524" t="s">
        <v>187</v>
      </c>
      <c r="M46" s="313"/>
      <c r="N46" s="313"/>
      <c r="O46" s="313"/>
      <c r="P46" s="1383"/>
      <c r="Q46" s="1384"/>
      <c r="R46" s="654" t="s">
        <v>139</v>
      </c>
      <c r="S46" s="523" t="s">
        <v>135</v>
      </c>
      <c r="T46" s="397" t="s">
        <v>136</v>
      </c>
      <c r="U46" s="397" t="s">
        <v>137</v>
      </c>
      <c r="V46" s="523" t="s">
        <v>187</v>
      </c>
      <c r="W46" s="523" t="s">
        <v>135</v>
      </c>
      <c r="X46" s="653" t="s">
        <v>136</v>
      </c>
      <c r="Y46" s="653" t="s">
        <v>137</v>
      </c>
      <c r="Z46" s="524" t="s">
        <v>187</v>
      </c>
      <c r="AA46" s="313"/>
    </row>
    <row r="47" spans="2:27" ht="16" thickBot="1">
      <c r="B47" s="322" t="s">
        <v>60</v>
      </c>
      <c r="C47" s="328" t="s">
        <v>57</v>
      </c>
      <c r="D47" s="671">
        <f>D22-D5</f>
        <v>201.41666666666697</v>
      </c>
      <c r="E47" s="672">
        <f t="shared" ref="E47:K47" si="58">E22-E5</f>
        <v>172.73809523809541</v>
      </c>
      <c r="F47" s="672">
        <f t="shared" si="58"/>
        <v>251.96428571428532</v>
      </c>
      <c r="G47" s="672">
        <f t="shared" si="58"/>
        <v>-3.044117647058556</v>
      </c>
      <c r="H47" s="672">
        <f t="shared" si="58"/>
        <v>81.619638242894325</v>
      </c>
      <c r="I47" s="672">
        <f t="shared" si="58"/>
        <v>6.5746167180463999E-2</v>
      </c>
      <c r="J47" s="672">
        <f t="shared" si="58"/>
        <v>1.254797562563283</v>
      </c>
      <c r="K47" s="672">
        <f t="shared" si="58"/>
        <v>-3.1415011455189017</v>
      </c>
      <c r="L47" s="825">
        <f>L22-L5</f>
        <v>-1.6277158471122277</v>
      </c>
      <c r="M47" s="313"/>
      <c r="N47" s="313"/>
      <c r="O47" s="313"/>
      <c r="P47" s="343" t="s">
        <v>61</v>
      </c>
      <c r="Q47" s="328" t="s">
        <v>58</v>
      </c>
      <c r="R47" s="683">
        <f>R23-R5</f>
        <v>-101.83333333333303</v>
      </c>
      <c r="S47" s="684">
        <f t="shared" ref="S47:Y47" si="59">S23-S5</f>
        <v>18.863636363636033</v>
      </c>
      <c r="T47" s="684">
        <f t="shared" si="59"/>
        <v>55.633333333334122</v>
      </c>
      <c r="U47" s="684">
        <f t="shared" si="59"/>
        <v>-4638.9718309859154</v>
      </c>
      <c r="V47" s="684">
        <f t="shared" si="59"/>
        <v>41.199999999999818</v>
      </c>
      <c r="W47" s="684">
        <f t="shared" si="59"/>
        <v>1.8539361153541165</v>
      </c>
      <c r="X47" s="684">
        <f t="shared" si="59"/>
        <v>2.570562688489801</v>
      </c>
      <c r="Y47" s="684">
        <f t="shared" si="59"/>
        <v>-85.289589195224352</v>
      </c>
      <c r="Z47" s="825">
        <f>Z23-Z5</f>
        <v>2.2837661018496505</v>
      </c>
      <c r="AA47" s="313"/>
    </row>
    <row r="48" spans="2:27" ht="16" thickBot="1">
      <c r="B48" s="322" t="s">
        <v>60</v>
      </c>
      <c r="C48" s="331" t="s">
        <v>59</v>
      </c>
      <c r="D48" s="673">
        <f>D23-D6</f>
        <v>-501.66666666666606</v>
      </c>
      <c r="E48" s="657">
        <f t="shared" ref="E48:L48" si="60">E23-E6</f>
        <v>-743.0448717948716</v>
      </c>
      <c r="F48" s="657">
        <f t="shared" si="60"/>
        <v>-683.16666666666697</v>
      </c>
      <c r="G48" s="657">
        <f t="shared" si="60"/>
        <v>-267.47496087636864</v>
      </c>
      <c r="H48" s="657">
        <f t="shared" si="60"/>
        <v>-483.41666666666606</v>
      </c>
      <c r="I48" s="657">
        <f t="shared" si="60"/>
        <v>-6.1808301736056706</v>
      </c>
      <c r="J48" s="657">
        <f t="shared" si="60"/>
        <v>-4.9026510982737506</v>
      </c>
      <c r="K48" s="657">
        <f t="shared" si="60"/>
        <v>3.3273496765401944</v>
      </c>
      <c r="L48" s="826">
        <f t="shared" si="60"/>
        <v>-0.84621297323663214</v>
      </c>
      <c r="M48" s="313"/>
      <c r="N48" s="313"/>
      <c r="O48" s="313"/>
      <c r="P48" s="322" t="s">
        <v>61</v>
      </c>
      <c r="Q48" s="328" t="s">
        <v>63</v>
      </c>
      <c r="R48" s="685">
        <f>R24-R6</f>
        <v>170.25</v>
      </c>
      <c r="S48" s="658">
        <f t="shared" ref="S48:Z48" si="61">S24-S6</f>
        <v>30.683333333333394</v>
      </c>
      <c r="T48" s="658">
        <f t="shared" si="61"/>
        <v>412.04411764705901</v>
      </c>
      <c r="U48" s="658">
        <f t="shared" si="61"/>
        <v>895.68253968253975</v>
      </c>
      <c r="V48" s="658">
        <f t="shared" si="61"/>
        <v>605.60416666666652</v>
      </c>
      <c r="W48" s="658">
        <f t="shared" si="61"/>
        <v>-1.7958662496069309</v>
      </c>
      <c r="X48" s="658">
        <f t="shared" si="61"/>
        <v>5.6812974566563099</v>
      </c>
      <c r="Y48" s="658">
        <f t="shared" si="61"/>
        <v>15.04157873245012</v>
      </c>
      <c r="Z48" s="826">
        <f t="shared" si="61"/>
        <v>9.3922982911788182</v>
      </c>
      <c r="AA48" s="313"/>
    </row>
    <row r="49" spans="2:27" ht="16" thickBot="1">
      <c r="B49" s="322" t="s">
        <v>60</v>
      </c>
      <c r="C49" s="328" t="s">
        <v>62</v>
      </c>
      <c r="D49" s="674">
        <f t="shared" ref="D49:L55" si="62">D24-D7</f>
        <v>-8.5833333333339397</v>
      </c>
      <c r="E49" s="655">
        <f t="shared" si="62"/>
        <v>34.80294117647054</v>
      </c>
      <c r="F49" s="655">
        <f t="shared" si="62"/>
        <v>-179.66666666666652</v>
      </c>
      <c r="G49" s="655">
        <f t="shared" si="62"/>
        <v>-350.43052912067014</v>
      </c>
      <c r="H49" s="655">
        <f t="shared" si="62"/>
        <v>-154</v>
      </c>
      <c r="I49" s="655">
        <f t="shared" si="62"/>
        <v>0.87334003629739243</v>
      </c>
      <c r="J49" s="655">
        <f t="shared" si="62"/>
        <v>-3.7097204638479298</v>
      </c>
      <c r="K49" s="655">
        <f t="shared" si="62"/>
        <v>-7.340419604816617</v>
      </c>
      <c r="L49" s="827">
        <f t="shared" si="62"/>
        <v>-3.149096876024899</v>
      </c>
      <c r="M49" s="313"/>
      <c r="N49" s="313"/>
      <c r="O49" s="313"/>
      <c r="P49" s="322" t="s">
        <v>61</v>
      </c>
      <c r="Q49" s="328" t="s">
        <v>65</v>
      </c>
      <c r="R49" s="686">
        <f t="shared" ref="R49:Z53" si="63">R25-R7</f>
        <v>-117.41666666666697</v>
      </c>
      <c r="S49" s="656">
        <f t="shared" si="63"/>
        <v>129.32417582417656</v>
      </c>
      <c r="T49" s="656">
        <f t="shared" si="63"/>
        <v>-66.142857142856883</v>
      </c>
      <c r="U49" s="656">
        <f t="shared" si="63"/>
        <v>3.0810810810817202</v>
      </c>
      <c r="V49" s="656">
        <f t="shared" si="63"/>
        <v>34.02083333333303</v>
      </c>
      <c r="W49" s="656">
        <f t="shared" si="63"/>
        <v>3.8333813983848302</v>
      </c>
      <c r="X49" s="656">
        <f t="shared" si="63"/>
        <v>0.62634840968362937</v>
      </c>
      <c r="Y49" s="656">
        <f t="shared" si="63"/>
        <v>1.8096833609469201</v>
      </c>
      <c r="Z49" s="827">
        <f t="shared" si="63"/>
        <v>2.315370180823237</v>
      </c>
      <c r="AA49" s="313"/>
    </row>
    <row r="50" spans="2:27" ht="16" thickBot="1">
      <c r="B50" s="322" t="s">
        <v>60</v>
      </c>
      <c r="C50" s="328" t="s">
        <v>64</v>
      </c>
      <c r="D50" s="673">
        <f t="shared" si="62"/>
        <v>-19.66666666666697</v>
      </c>
      <c r="E50" s="657">
        <f t="shared" si="62"/>
        <v>126.66666666666652</v>
      </c>
      <c r="F50" s="657">
        <f t="shared" si="62"/>
        <v>99.055555555555202</v>
      </c>
      <c r="G50" s="657">
        <f t="shared" si="62"/>
        <v>-293.33695652173901</v>
      </c>
      <c r="H50" s="657">
        <f t="shared" si="62"/>
        <v>-180.08953900709184</v>
      </c>
      <c r="I50" s="657">
        <f t="shared" si="62"/>
        <v>3.3708110613853393</v>
      </c>
      <c r="J50" s="657">
        <f t="shared" si="62"/>
        <v>2.7195160063790667</v>
      </c>
      <c r="K50" s="657">
        <f t="shared" si="62"/>
        <v>-6.5632228095911245</v>
      </c>
      <c r="L50" s="826">
        <f t="shared" si="62"/>
        <v>-3.8833559321965083</v>
      </c>
      <c r="M50" s="313"/>
      <c r="N50" s="313"/>
      <c r="O50" s="313"/>
      <c r="P50" s="332" t="s">
        <v>61</v>
      </c>
      <c r="Q50" s="328" t="s">
        <v>66</v>
      </c>
      <c r="R50" s="685">
        <f t="shared" si="63"/>
        <v>-437.66666666666606</v>
      </c>
      <c r="S50" s="658">
        <f t="shared" si="63"/>
        <v>-260.95054945054926</v>
      </c>
      <c r="T50" s="658">
        <f t="shared" si="63"/>
        <v>-153.32380952380936</v>
      </c>
      <c r="U50" s="658">
        <f t="shared" si="63"/>
        <v>-213.72507610350112</v>
      </c>
      <c r="V50" s="658">
        <f t="shared" si="63"/>
        <v>-274.8125</v>
      </c>
      <c r="W50" s="658">
        <f t="shared" si="63"/>
        <v>1.5600014075033783</v>
      </c>
      <c r="X50" s="658">
        <f t="shared" si="63"/>
        <v>3.2815348323334916</v>
      </c>
      <c r="Y50" s="658">
        <f t="shared" si="63"/>
        <v>2.1825141689844827</v>
      </c>
      <c r="Z50" s="826">
        <f t="shared" si="63"/>
        <v>1.2530899488995573</v>
      </c>
      <c r="AA50" s="313"/>
    </row>
    <row r="51" spans="2:27" ht="16" thickBot="1">
      <c r="B51" s="332" t="s">
        <v>60</v>
      </c>
      <c r="C51" s="328" t="s">
        <v>67</v>
      </c>
      <c r="D51" s="674">
        <f t="shared" si="62"/>
        <v>-131.91666666666697</v>
      </c>
      <c r="E51" s="655">
        <f t="shared" si="62"/>
        <v>-259.90909090909099</v>
      </c>
      <c r="F51" s="655">
        <f t="shared" si="62"/>
        <v>-166.58333333333303</v>
      </c>
      <c r="G51" s="655"/>
      <c r="H51" s="655">
        <f t="shared" si="62"/>
        <v>4517.875</v>
      </c>
      <c r="I51" s="655">
        <f t="shared" si="62"/>
        <v>-2.7639195547279911</v>
      </c>
      <c r="J51" s="655">
        <f t="shared" si="62"/>
        <v>-0.97475240495988658</v>
      </c>
      <c r="K51" s="655"/>
      <c r="L51" s="827"/>
      <c r="M51" s="313"/>
      <c r="N51" s="313"/>
      <c r="O51" s="313"/>
      <c r="P51" s="322" t="s">
        <v>61</v>
      </c>
      <c r="Q51" s="328" t="s">
        <v>69</v>
      </c>
      <c r="R51" s="686">
        <f t="shared" si="63"/>
        <v>-59.448333333332812</v>
      </c>
      <c r="S51" s="656">
        <f t="shared" si="63"/>
        <v>-4398.545714285714</v>
      </c>
      <c r="T51" s="656">
        <f t="shared" si="63"/>
        <v>-66.742142857143335</v>
      </c>
      <c r="U51" s="656">
        <f t="shared" si="63"/>
        <v>-158.98290322580669</v>
      </c>
      <c r="V51" s="656">
        <f t="shared" si="63"/>
        <v>-156.79833333333318</v>
      </c>
      <c r="W51" s="656">
        <f t="shared" si="63"/>
        <v>-77.713393902235111</v>
      </c>
      <c r="X51" s="656">
        <f t="shared" si="63"/>
        <v>-0.38068999041352924</v>
      </c>
      <c r="Y51" s="656">
        <f t="shared" si="63"/>
        <v>-2.0058748217863211</v>
      </c>
      <c r="Z51" s="827">
        <f t="shared" si="63"/>
        <v>-1.9541255660114274</v>
      </c>
      <c r="AA51" s="313"/>
    </row>
    <row r="52" spans="2:27" ht="16" thickBot="1">
      <c r="B52" s="322" t="s">
        <v>60</v>
      </c>
      <c r="C52" s="328" t="s">
        <v>68</v>
      </c>
      <c r="D52" s="673">
        <f t="shared" si="62"/>
        <v>-37.58333333333303</v>
      </c>
      <c r="E52" s="657">
        <f t="shared" si="62"/>
        <v>173.85256410256397</v>
      </c>
      <c r="F52" s="657">
        <f t="shared" si="62"/>
        <v>217.83333333333303</v>
      </c>
      <c r="G52" s="657">
        <f t="shared" si="62"/>
        <v>68.673896499239163</v>
      </c>
      <c r="H52" s="657">
        <f t="shared" si="62"/>
        <v>153.8125</v>
      </c>
      <c r="I52" s="657">
        <f t="shared" si="62"/>
        <v>4.0177307954884753</v>
      </c>
      <c r="J52" s="657">
        <f t="shared" si="62"/>
        <v>4.90884453823098</v>
      </c>
      <c r="K52" s="657">
        <f t="shared" si="62"/>
        <v>2.0037347151052387</v>
      </c>
      <c r="L52" s="826">
        <f t="shared" si="62"/>
        <v>3.6643096490913365</v>
      </c>
      <c r="M52" s="313"/>
      <c r="N52" s="313"/>
      <c r="O52" s="313"/>
      <c r="P52" s="322" t="s">
        <v>61</v>
      </c>
      <c r="Q52" s="328" t="s">
        <v>70</v>
      </c>
      <c r="R52" s="685">
        <f t="shared" si="63"/>
        <v>291.58833333333405</v>
      </c>
      <c r="S52" s="658">
        <f t="shared" si="63"/>
        <v>-479.85384615384601</v>
      </c>
      <c r="T52" s="658">
        <f t="shared" si="63"/>
        <v>-396.35166666666646</v>
      </c>
      <c r="U52" s="658">
        <f t="shared" si="63"/>
        <v>-53.70603627713399</v>
      </c>
      <c r="V52" s="658">
        <f t="shared" si="63"/>
        <v>-98.206111111111113</v>
      </c>
      <c r="W52" s="658">
        <f t="shared" si="63"/>
        <v>-16.718524804806734</v>
      </c>
      <c r="X52" s="658">
        <f t="shared" si="63"/>
        <v>-15.044054827460997</v>
      </c>
      <c r="Y52" s="658">
        <f t="shared" si="63"/>
        <v>-7.343670861400426</v>
      </c>
      <c r="Z52" s="826">
        <f t="shared" si="63"/>
        <v>-8.3514665283105103</v>
      </c>
      <c r="AA52" s="313"/>
    </row>
    <row r="53" spans="2:27" ht="16" thickBot="1">
      <c r="B53" s="322" t="s">
        <v>60</v>
      </c>
      <c r="C53" s="328" t="s">
        <v>71</v>
      </c>
      <c r="D53" s="674">
        <f t="shared" si="62"/>
        <v>233.3766666666661</v>
      </c>
      <c r="E53" s="655">
        <f t="shared" si="62"/>
        <v>60.789230769230926</v>
      </c>
      <c r="F53" s="655">
        <f t="shared" si="62"/>
        <v>-291.21952380952462</v>
      </c>
      <c r="G53" s="655">
        <f t="shared" si="62"/>
        <v>-445.58693989071071</v>
      </c>
      <c r="H53" s="655">
        <f t="shared" si="62"/>
        <v>-118.721355498722</v>
      </c>
      <c r="I53" s="655">
        <f t="shared" si="62"/>
        <v>-2.0139286784916237</v>
      </c>
      <c r="J53" s="655">
        <f t="shared" si="62"/>
        <v>-8.0571523637911611</v>
      </c>
      <c r="K53" s="655">
        <f t="shared" si="62"/>
        <v>-10.826493673512545</v>
      </c>
      <c r="L53" s="827">
        <f t="shared" si="62"/>
        <v>-5.2653175293795158</v>
      </c>
      <c r="M53" s="313"/>
      <c r="N53" s="313"/>
      <c r="O53" s="313"/>
      <c r="P53" s="333" t="s">
        <v>61</v>
      </c>
      <c r="Q53" s="328" t="s">
        <v>74</v>
      </c>
      <c r="R53" s="687">
        <f t="shared" si="63"/>
        <v>-569.48500000000058</v>
      </c>
      <c r="S53" s="688">
        <f t="shared" si="63"/>
        <v>-353.74782051282045</v>
      </c>
      <c r="T53" s="688">
        <f t="shared" si="63"/>
        <v>-102.51966666666658</v>
      </c>
      <c r="U53" s="688">
        <f t="shared" si="63"/>
        <v>253.16033898305068</v>
      </c>
      <c r="V53" s="688">
        <f t="shared" si="63"/>
        <v>-9.1525000000001455</v>
      </c>
      <c r="W53" s="688">
        <f t="shared" si="63"/>
        <v>0.93159814550820386</v>
      </c>
      <c r="X53" s="688">
        <f t="shared" si="63"/>
        <v>6.8457230843549013</v>
      </c>
      <c r="Y53" s="688">
        <f t="shared" si="63"/>
        <v>14.130223235272283</v>
      </c>
      <c r="Z53" s="828">
        <f t="shared" si="63"/>
        <v>8.673383041678207</v>
      </c>
      <c r="AA53" s="313"/>
    </row>
    <row r="54" spans="2:27" ht="16" thickBot="1">
      <c r="B54" s="322" t="s">
        <v>60</v>
      </c>
      <c r="C54" s="328" t="s">
        <v>72</v>
      </c>
      <c r="D54" s="673">
        <f t="shared" si="62"/>
        <v>167.74499999999989</v>
      </c>
      <c r="E54" s="657">
        <f t="shared" si="62"/>
        <v>-246.00833333333321</v>
      </c>
      <c r="F54" s="657">
        <f t="shared" si="62"/>
        <v>-245.63733333333312</v>
      </c>
      <c r="G54" s="657">
        <f t="shared" si="62"/>
        <v>-83.674950321448705</v>
      </c>
      <c r="H54" s="657">
        <f t="shared" si="62"/>
        <v>-194.33503205128136</v>
      </c>
      <c r="I54" s="657">
        <f t="shared" si="62"/>
        <v>-7.5350373965094377</v>
      </c>
      <c r="J54" s="657">
        <f t="shared" si="62"/>
        <v>-7.401728973314718</v>
      </c>
      <c r="K54" s="657">
        <f t="shared" si="62"/>
        <v>-4.2276154294429062</v>
      </c>
      <c r="L54" s="826">
        <f t="shared" si="62"/>
        <v>-6.4513115743144027</v>
      </c>
      <c r="M54" s="313"/>
      <c r="N54" s="313"/>
      <c r="O54" s="313"/>
      <c r="P54" s="313"/>
      <c r="Q54" s="334" t="s">
        <v>76</v>
      </c>
      <c r="R54" s="393">
        <f>AVERAGE(R47:R53)</f>
        <v>-117.7159523809522</v>
      </c>
      <c r="S54" s="393">
        <f t="shared" ref="S54:Y54" si="64">AVERAGE(S47:S53)</f>
        <v>-759.17525498311204</v>
      </c>
      <c r="T54" s="393">
        <f t="shared" si="64"/>
        <v>-45.343241696678497</v>
      </c>
      <c r="U54" s="393">
        <f t="shared" si="64"/>
        <v>-559.06598383509788</v>
      </c>
      <c r="V54" s="393">
        <f t="shared" si="64"/>
        <v>20.265079365079277</v>
      </c>
      <c r="W54" s="659">
        <f t="shared" si="64"/>
        <v>-12.578409698556893</v>
      </c>
      <c r="X54" s="659">
        <f t="shared" si="64"/>
        <v>0.51153166480622958</v>
      </c>
      <c r="Y54" s="659">
        <f t="shared" si="64"/>
        <v>-8.7821621972510417</v>
      </c>
      <c r="Z54" s="393">
        <f>AVERAGE(Z47:Z53)</f>
        <v>1.9446164957296475</v>
      </c>
      <c r="AA54" s="313"/>
    </row>
    <row r="55" spans="2:27" ht="16" thickBot="1">
      <c r="B55" s="333" t="s">
        <v>60</v>
      </c>
      <c r="C55" s="328" t="s">
        <v>73</v>
      </c>
      <c r="D55" s="675">
        <f t="shared" si="62"/>
        <v>221.27500000000055</v>
      </c>
      <c r="E55" s="676">
        <f t="shared" si="62"/>
        <v>15.769230769230944</v>
      </c>
      <c r="F55" s="676">
        <f t="shared" si="62"/>
        <v>2.2619047619050434</v>
      </c>
      <c r="G55" s="676">
        <f t="shared" si="62"/>
        <v>52.350464734828165</v>
      </c>
      <c r="H55" s="676">
        <f t="shared" si="62"/>
        <v>14.420416666666824</v>
      </c>
      <c r="I55" s="676">
        <f t="shared" si="62"/>
        <v>-2.7636873649242517</v>
      </c>
      <c r="J55" s="676">
        <f t="shared" si="62"/>
        <v>-3.1242570384912369</v>
      </c>
      <c r="K55" s="676">
        <f t="shared" si="62"/>
        <v>-2.277707268372879</v>
      </c>
      <c r="L55" s="828">
        <f t="shared" si="62"/>
        <v>-3.1131127811490558</v>
      </c>
      <c r="M55" s="313"/>
      <c r="N55" s="313"/>
      <c r="O55" s="313"/>
      <c r="P55" s="313"/>
      <c r="Q55" s="334" t="s">
        <v>13</v>
      </c>
      <c r="R55" s="393">
        <f>STDEVA(R47:R53)</f>
        <v>305.65928269413001</v>
      </c>
      <c r="S55" s="393">
        <f t="shared" ref="S55:Y55" si="65">STDEVA(S47:S53)</f>
        <v>1620.405782298021</v>
      </c>
      <c r="T55" s="393">
        <f t="shared" si="65"/>
        <v>244.41285535146716</v>
      </c>
      <c r="U55" s="393">
        <f t="shared" si="65"/>
        <v>1838.1313609615988</v>
      </c>
      <c r="V55" s="393">
        <f t="shared" si="65"/>
        <v>281.83103262451135</v>
      </c>
      <c r="W55" s="659">
        <f t="shared" si="65"/>
        <v>29.541000989549936</v>
      </c>
      <c r="X55" s="659">
        <f t="shared" si="65"/>
        <v>7.3205930892701998</v>
      </c>
      <c r="Y55" s="659">
        <f t="shared" si="65"/>
        <v>34.704305861586882</v>
      </c>
      <c r="Z55" s="393">
        <f>STDEVA(Z47:Z53)</f>
        <v>6.0921324724786228</v>
      </c>
      <c r="AA55" s="313"/>
    </row>
    <row r="56" spans="2:27">
      <c r="B56" s="313"/>
      <c r="C56" s="334" t="s">
        <v>76</v>
      </c>
      <c r="D56" s="393">
        <f>AVERAGE(D47:D55)</f>
        <v>13.821851851851838</v>
      </c>
      <c r="E56" s="393">
        <f t="shared" ref="E56:K56" si="66">AVERAGE(E47:E55)</f>
        <v>-73.815951923893053</v>
      </c>
      <c r="F56" s="393">
        <f t="shared" si="66"/>
        <v>-110.57316049382729</v>
      </c>
      <c r="G56" s="393">
        <f t="shared" si="66"/>
        <v>-165.31551164299105</v>
      </c>
      <c r="H56" s="393">
        <f t="shared" si="66"/>
        <v>404.1294401873111</v>
      </c>
      <c r="I56" s="393">
        <f t="shared" si="66"/>
        <v>-1.4366416786563672</v>
      </c>
      <c r="J56" s="393">
        <f t="shared" si="66"/>
        <v>-2.143011581722817</v>
      </c>
      <c r="K56" s="393">
        <f t="shared" si="66"/>
        <v>-3.6307344424511925</v>
      </c>
      <c r="L56" s="393">
        <f>AVERAGE(L47:L55)</f>
        <v>-2.5839767330402381</v>
      </c>
      <c r="M56" s="368"/>
      <c r="N56" s="313"/>
      <c r="O56" s="313"/>
      <c r="P56" s="313"/>
      <c r="Q56" s="334" t="s">
        <v>14</v>
      </c>
      <c r="R56" s="393">
        <f>R55/SQRT(COUNT(R47:R53))</f>
        <v>115.52834970386526</v>
      </c>
      <c r="S56" s="393">
        <f t="shared" ref="S56:Y56" si="67">S55/SQRT(COUNT(S47:S53))</f>
        <v>612.45581756737602</v>
      </c>
      <c r="T56" s="393">
        <f t="shared" si="67"/>
        <v>92.379376069597768</v>
      </c>
      <c r="U56" s="393">
        <f t="shared" si="67"/>
        <v>694.74835116758425</v>
      </c>
      <c r="V56" s="393">
        <f t="shared" si="67"/>
        <v>106.52211772356975</v>
      </c>
      <c r="W56" s="659">
        <f t="shared" si="67"/>
        <v>11.165448871180301</v>
      </c>
      <c r="X56" s="659">
        <f t="shared" si="67"/>
        <v>2.7669241091010015</v>
      </c>
      <c r="Y56" s="659">
        <f t="shared" si="67"/>
        <v>13.116994676125721</v>
      </c>
      <c r="Z56" s="393">
        <f>Z55/SQRT(COUNT(Z47:Z53))</f>
        <v>2.3026096394627831</v>
      </c>
      <c r="AA56" s="313"/>
    </row>
    <row r="57" spans="2:27">
      <c r="B57" s="313"/>
      <c r="C57" s="334" t="s">
        <v>13</v>
      </c>
      <c r="D57" s="393">
        <f>STDEVA(D47:D55)</f>
        <v>234.88278199727799</v>
      </c>
      <c r="E57" s="393">
        <f t="shared" ref="E57:K57" si="68">STDEVA(E47:E55)</f>
        <v>298.41502480783453</v>
      </c>
      <c r="F57" s="393">
        <f t="shared" si="68"/>
        <v>292.10657095630506</v>
      </c>
      <c r="G57" s="393">
        <f t="shared" si="68"/>
        <v>198.12420114731341</v>
      </c>
      <c r="H57" s="393">
        <f t="shared" si="68"/>
        <v>1553.7671099345425</v>
      </c>
      <c r="I57" s="393">
        <f t="shared" si="68"/>
        <v>3.9371420090950902</v>
      </c>
      <c r="J57" s="393">
        <f t="shared" si="68"/>
        <v>4.4713949891293678</v>
      </c>
      <c r="K57" s="393">
        <f t="shared" si="68"/>
        <v>4.7317873231152383</v>
      </c>
      <c r="L57" s="393">
        <f>STDEVA(L47:L55)</f>
        <v>3.1031997255651897</v>
      </c>
      <c r="M57" s="313"/>
      <c r="N57" s="313"/>
      <c r="O57" s="313"/>
      <c r="P57" s="313"/>
      <c r="Q57" s="849"/>
      <c r="R57" s="313"/>
      <c r="S57" s="313"/>
      <c r="T57" s="313"/>
      <c r="U57" s="313"/>
      <c r="V57" s="313"/>
      <c r="W57" s="313"/>
      <c r="X57" s="313"/>
      <c r="Y57" s="313"/>
      <c r="Z57" s="336"/>
      <c r="AA57" s="313"/>
    </row>
    <row r="58" spans="2:27">
      <c r="B58" s="313"/>
      <c r="C58" s="334" t="s">
        <v>14</v>
      </c>
      <c r="D58" s="393">
        <f>D57/SQRT(COUNT(D47:D55))</f>
        <v>78.294260665759325</v>
      </c>
      <c r="E58" s="393">
        <f t="shared" ref="E58:K58" si="69">E57/SQRT(COUNT(E47:E55))</f>
        <v>99.471674935944847</v>
      </c>
      <c r="F58" s="393">
        <f t="shared" si="69"/>
        <v>97.368856985435016</v>
      </c>
      <c r="G58" s="393">
        <f t="shared" si="69"/>
        <v>70.04748307421643</v>
      </c>
      <c r="H58" s="393">
        <f t="shared" si="69"/>
        <v>517.92236997818088</v>
      </c>
      <c r="I58" s="393">
        <f t="shared" si="69"/>
        <v>1.3123806696983633</v>
      </c>
      <c r="J58" s="393">
        <f t="shared" si="69"/>
        <v>1.490464996376456</v>
      </c>
      <c r="K58" s="393">
        <f t="shared" si="69"/>
        <v>1.6729394516536631</v>
      </c>
      <c r="L58" s="393">
        <f>L57/SQRT(COUNT(L47:L55))</f>
        <v>1.0971467846616894</v>
      </c>
      <c r="M58" s="313"/>
      <c r="N58" s="313"/>
      <c r="O58" s="313"/>
      <c r="P58" s="313"/>
      <c r="Q58" s="849"/>
      <c r="R58" s="313"/>
      <c r="S58" s="313"/>
      <c r="T58" s="313"/>
      <c r="U58" s="313"/>
      <c r="V58" s="313"/>
      <c r="W58" s="313"/>
      <c r="X58" s="313"/>
      <c r="Y58" s="313"/>
      <c r="Z58" s="336"/>
      <c r="AA58" s="313"/>
    </row>
    <row r="59" spans="2:27"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</row>
    <row r="60" spans="2:27"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36"/>
      <c r="AA60" s="313"/>
    </row>
    <row r="62" spans="2:27" ht="16" thickBot="1"/>
    <row r="63" spans="2:27" ht="16" thickBot="1">
      <c r="B63" s="1393"/>
      <c r="C63" s="1394"/>
      <c r="D63" s="660"/>
      <c r="E63" s="554"/>
      <c r="F63" s="554"/>
      <c r="G63" s="554"/>
      <c r="H63" s="554"/>
      <c r="I63" s="554"/>
      <c r="J63" s="554"/>
      <c r="K63" s="554"/>
      <c r="L63" s="554"/>
      <c r="M63" s="554"/>
      <c r="N63" s="554"/>
      <c r="O63" s="554"/>
      <c r="P63" s="1393"/>
      <c r="Q63" s="139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</row>
    <row r="64" spans="2:27" ht="16" thickBot="1">
      <c r="B64" s="1385" t="s">
        <v>177</v>
      </c>
      <c r="C64" s="1386"/>
      <c r="D64" s="661" t="s">
        <v>19</v>
      </c>
      <c r="E64" s="1412" t="s">
        <v>134</v>
      </c>
      <c r="F64" s="1413"/>
      <c r="G64" s="1413"/>
      <c r="H64" s="1414"/>
      <c r="I64" s="1412" t="s">
        <v>140</v>
      </c>
      <c r="J64" s="1413"/>
      <c r="K64" s="1413"/>
      <c r="L64" s="1414"/>
      <c r="M64" s="554"/>
      <c r="N64" s="554"/>
      <c r="O64" s="554"/>
      <c r="P64" s="1385" t="s">
        <v>177</v>
      </c>
      <c r="Q64" s="1386"/>
      <c r="R64" s="661" t="s">
        <v>19</v>
      </c>
      <c r="S64" s="1393" t="s">
        <v>134</v>
      </c>
      <c r="T64" s="1415"/>
      <c r="U64" s="1415"/>
      <c r="V64" s="1394"/>
      <c r="W64" s="1412" t="s">
        <v>140</v>
      </c>
      <c r="X64" s="1413"/>
      <c r="Y64" s="1413"/>
      <c r="Z64" s="1414"/>
      <c r="AA64" s="554"/>
    </row>
    <row r="65" spans="2:27" ht="16" thickBot="1">
      <c r="B65" s="1387"/>
      <c r="C65" s="1388"/>
      <c r="D65" s="677" t="s">
        <v>139</v>
      </c>
      <c r="E65" s="662" t="s">
        <v>135</v>
      </c>
      <c r="F65" s="663" t="s">
        <v>136</v>
      </c>
      <c r="G65" s="663" t="s">
        <v>137</v>
      </c>
      <c r="H65" s="663" t="s">
        <v>187</v>
      </c>
      <c r="I65" s="662" t="s">
        <v>135</v>
      </c>
      <c r="J65" s="663" t="s">
        <v>136</v>
      </c>
      <c r="K65" s="663" t="s">
        <v>137</v>
      </c>
      <c r="L65" s="559" t="s">
        <v>187</v>
      </c>
      <c r="M65" s="554"/>
      <c r="N65" s="554"/>
      <c r="O65" s="554"/>
      <c r="P65" s="1387"/>
      <c r="Q65" s="1388"/>
      <c r="R65" s="667" t="s">
        <v>139</v>
      </c>
      <c r="S65" s="664" t="s">
        <v>135</v>
      </c>
      <c r="T65" s="668" t="s">
        <v>136</v>
      </c>
      <c r="U65" s="668" t="s">
        <v>137</v>
      </c>
      <c r="V65" s="664" t="s">
        <v>187</v>
      </c>
      <c r="W65" s="664" t="s">
        <v>135</v>
      </c>
      <c r="X65" s="665" t="s">
        <v>136</v>
      </c>
      <c r="Y65" s="665" t="s">
        <v>137</v>
      </c>
      <c r="Z65" s="666" t="s">
        <v>187</v>
      </c>
      <c r="AA65" s="554"/>
    </row>
    <row r="66" spans="2:27" ht="16" thickBot="1">
      <c r="B66" s="565" t="s">
        <v>60</v>
      </c>
      <c r="C66" s="568" t="s">
        <v>57</v>
      </c>
      <c r="D66" s="723">
        <f>(D22-D5)/D5*100</f>
        <v>3.4106623768803144</v>
      </c>
      <c r="E66" s="724">
        <f t="shared" ref="E66:K66" si="70">(E22-E5)/E5*100</f>
        <v>3.4918251344027831</v>
      </c>
      <c r="F66" s="724">
        <f t="shared" si="70"/>
        <v>4.9012796820941684</v>
      </c>
      <c r="G66" s="724">
        <f t="shared" si="70"/>
        <v>-5.4990449726238365E-2</v>
      </c>
      <c r="H66" s="724">
        <f t="shared" si="70"/>
        <v>1.537800172831397</v>
      </c>
      <c r="I66" s="724">
        <f t="shared" si="70"/>
        <v>7.8485869500255892E-2</v>
      </c>
      <c r="J66" s="724">
        <f t="shared" si="70"/>
        <v>1.4414541701524857</v>
      </c>
      <c r="K66" s="724">
        <f t="shared" si="70"/>
        <v>-3.3513496064612647</v>
      </c>
      <c r="L66" s="719">
        <f>(L22-L5)/L5*100</f>
        <v>-1.811091971564089</v>
      </c>
      <c r="M66" s="554"/>
      <c r="N66" s="554"/>
      <c r="O66" s="554"/>
      <c r="P66" s="567" t="s">
        <v>61</v>
      </c>
      <c r="Q66" s="568" t="s">
        <v>58</v>
      </c>
      <c r="R66" s="678">
        <f>(R23-R5)/R5*100</f>
        <v>-1.8722517581087443</v>
      </c>
      <c r="S66" s="679">
        <f t="shared" ref="S66:Z66" si="71">(S23-S5)/S5*100</f>
        <v>0.44099675893947471</v>
      </c>
      <c r="T66" s="679">
        <f t="shared" si="71"/>
        <v>1.2770287847950357</v>
      </c>
      <c r="U66" s="679">
        <f t="shared" si="71"/>
        <v>-100</v>
      </c>
      <c r="V66" s="679">
        <f t="shared" si="71"/>
        <v>0.95596083344934368</v>
      </c>
      <c r="W66" s="679">
        <f t="shared" si="71"/>
        <v>2.3573846934160887</v>
      </c>
      <c r="X66" s="679">
        <f t="shared" si="71"/>
        <v>3.2093679915497426</v>
      </c>
      <c r="Y66" s="679">
        <f t="shared" si="71"/>
        <v>-100</v>
      </c>
      <c r="Z66" s="719">
        <f t="shared" si="71"/>
        <v>2.8821741477103502</v>
      </c>
      <c r="AA66" s="554"/>
    </row>
    <row r="67" spans="2:27" ht="16" thickBot="1">
      <c r="B67" s="565" t="s">
        <v>60</v>
      </c>
      <c r="C67" s="575" t="s">
        <v>59</v>
      </c>
      <c r="D67" s="725">
        <f>(D23-D6)/D6*100</f>
        <v>-8.8172830465031016</v>
      </c>
      <c r="E67" s="726">
        <f t="shared" ref="E67:L67" si="72">(E23-E6)/E6*100</f>
        <v>-15.510924486693639</v>
      </c>
      <c r="F67" s="726">
        <f t="shared" si="72"/>
        <v>-14.047051969637264</v>
      </c>
      <c r="G67" s="726">
        <f t="shared" si="72"/>
        <v>-5.3588474291537862</v>
      </c>
      <c r="H67" s="726">
        <f t="shared" si="72"/>
        <v>-9.6979930286793667</v>
      </c>
      <c r="I67" s="726">
        <f t="shared" si="72"/>
        <v>-7.3409102775521511</v>
      </c>
      <c r="J67" s="726">
        <f t="shared" si="72"/>
        <v>-5.7354826636733485</v>
      </c>
      <c r="K67" s="726">
        <f t="shared" si="72"/>
        <v>3.7928630917119044</v>
      </c>
      <c r="L67" s="720">
        <f t="shared" si="72"/>
        <v>-0.9658738098640185</v>
      </c>
      <c r="M67" s="554"/>
      <c r="N67" s="554"/>
      <c r="O67" s="554"/>
      <c r="P67" s="565" t="s">
        <v>61</v>
      </c>
      <c r="Q67" s="568" t="s">
        <v>63</v>
      </c>
      <c r="R67" s="680">
        <f t="shared" ref="R67:Z72" si="73">(R24-R6)/R6*100</f>
        <v>3.4100582530753951</v>
      </c>
      <c r="S67" s="669">
        <f t="shared" si="73"/>
        <v>0.84790258101361604</v>
      </c>
      <c r="T67" s="669">
        <f t="shared" si="73"/>
        <v>11.834546959739146</v>
      </c>
      <c r="U67" s="669">
        <f t="shared" si="73"/>
        <v>25.642738503416201</v>
      </c>
      <c r="V67" s="669">
        <f t="shared" si="73"/>
        <v>17.110382539392898</v>
      </c>
      <c r="W67" s="669">
        <f t="shared" si="73"/>
        <v>-2.4776658241419844</v>
      </c>
      <c r="X67" s="669">
        <f t="shared" si="73"/>
        <v>8.1466821013160029</v>
      </c>
      <c r="Y67" s="669">
        <f t="shared" si="73"/>
        <v>21.499533629437483</v>
      </c>
      <c r="Z67" s="721">
        <f t="shared" si="73"/>
        <v>13.248541309964956</v>
      </c>
      <c r="AA67" s="554"/>
    </row>
    <row r="68" spans="2:27" ht="16" thickBot="1">
      <c r="B68" s="565" t="s">
        <v>60</v>
      </c>
      <c r="C68" s="568" t="s">
        <v>62</v>
      </c>
      <c r="D68" s="727">
        <f t="shared" ref="D68:L74" si="74">(D24-D7)/D7*100</f>
        <v>-0.18320230514746411</v>
      </c>
      <c r="E68" s="728">
        <f t="shared" si="74"/>
        <v>1.0557072248095198</v>
      </c>
      <c r="F68" s="728">
        <f t="shared" si="74"/>
        <v>-5.3274030145786959</v>
      </c>
      <c r="G68" s="728">
        <f t="shared" si="74"/>
        <v>-8.9793665387524388</v>
      </c>
      <c r="H68" s="728">
        <f t="shared" si="74"/>
        <v>-4.1922348377437242</v>
      </c>
      <c r="I68" s="728">
        <f t="shared" si="74"/>
        <v>1.2411834065689202</v>
      </c>
      <c r="J68" s="728">
        <f t="shared" si="74"/>
        <v>-5.1536423009255827</v>
      </c>
      <c r="K68" s="728">
        <f t="shared" si="74"/>
        <v>-8.8123085860713495</v>
      </c>
      <c r="L68" s="721">
        <f t="shared" si="74"/>
        <v>-4.0163906528560025</v>
      </c>
      <c r="M68" s="554"/>
      <c r="N68" s="554"/>
      <c r="O68" s="554"/>
      <c r="P68" s="565" t="s">
        <v>61</v>
      </c>
      <c r="Q68" s="568" t="s">
        <v>65</v>
      </c>
      <c r="R68" s="680">
        <f t="shared" si="73"/>
        <v>-1.9573522261582326</v>
      </c>
      <c r="S68" s="669">
        <f t="shared" si="73"/>
        <v>2.633242377559335</v>
      </c>
      <c r="T68" s="669">
        <f t="shared" si="73"/>
        <v>-1.2571785437908094</v>
      </c>
      <c r="U68" s="669">
        <f t="shared" si="73"/>
        <v>5.8351418860828612E-2</v>
      </c>
      <c r="V68" s="669">
        <f t="shared" si="73"/>
        <v>0.65186758266103495</v>
      </c>
      <c r="W68" s="669">
        <f t="shared" si="73"/>
        <v>4.6822425831530472</v>
      </c>
      <c r="X68" s="669">
        <f t="shared" si="73"/>
        <v>0.71415215548088318</v>
      </c>
      <c r="Y68" s="669">
        <f t="shared" si="73"/>
        <v>2.055945744823986</v>
      </c>
      <c r="Z68" s="721">
        <f t="shared" si="73"/>
        <v>2.6613110396998247</v>
      </c>
      <c r="AA68" s="554"/>
    </row>
    <row r="69" spans="2:27" ht="16" thickBot="1">
      <c r="B69" s="565" t="s">
        <v>60</v>
      </c>
      <c r="C69" s="568" t="s">
        <v>64</v>
      </c>
      <c r="D69" s="725">
        <f t="shared" si="74"/>
        <v>-0.46390030074893085</v>
      </c>
      <c r="E69" s="726">
        <f t="shared" si="74"/>
        <v>3.773210207526557</v>
      </c>
      <c r="F69" s="726">
        <f t="shared" si="74"/>
        <v>2.92664510940038</v>
      </c>
      <c r="G69" s="726">
        <f t="shared" si="74"/>
        <v>-8.3049188803269374</v>
      </c>
      <c r="H69" s="726">
        <f t="shared" si="74"/>
        <v>-5.1501363585312783</v>
      </c>
      <c r="I69" s="726">
        <f t="shared" si="74"/>
        <v>4.2568580857376723</v>
      </c>
      <c r="J69" s="726">
        <f t="shared" si="74"/>
        <v>3.406347466289962</v>
      </c>
      <c r="K69" s="726">
        <f t="shared" si="74"/>
        <v>-7.8775626162464754</v>
      </c>
      <c r="L69" s="720">
        <f t="shared" si="74"/>
        <v>-4.7080768404044893</v>
      </c>
      <c r="M69" s="554"/>
      <c r="N69" s="554"/>
      <c r="O69" s="554"/>
      <c r="P69" s="570" t="s">
        <v>61</v>
      </c>
      <c r="Q69" s="568" t="s">
        <v>66</v>
      </c>
      <c r="R69" s="680">
        <f t="shared" si="73"/>
        <v>-7.0230804204220174</v>
      </c>
      <c r="S69" s="669">
        <f t="shared" si="73"/>
        <v>-5.2162538262742402</v>
      </c>
      <c r="T69" s="669">
        <f t="shared" si="73"/>
        <v>-3.1351570304908059</v>
      </c>
      <c r="U69" s="669">
        <f t="shared" si="73"/>
        <v>-4.4123481125562662</v>
      </c>
      <c r="V69" s="669">
        <f t="shared" si="73"/>
        <v>-5.5553449822486698</v>
      </c>
      <c r="W69" s="669">
        <f t="shared" si="73"/>
        <v>1.9433065779312444</v>
      </c>
      <c r="X69" s="669">
        <f t="shared" si="73"/>
        <v>4.1816005601299677</v>
      </c>
      <c r="Y69" s="669">
        <f t="shared" si="73"/>
        <v>2.8079359045996859</v>
      </c>
      <c r="Z69" s="721">
        <f t="shared" si="73"/>
        <v>1.5786019205735458</v>
      </c>
      <c r="AA69" s="554"/>
    </row>
    <row r="70" spans="2:27" ht="16" thickBot="1">
      <c r="B70" s="570" t="s">
        <v>60</v>
      </c>
      <c r="C70" s="568" t="s">
        <v>67</v>
      </c>
      <c r="D70" s="727">
        <f t="shared" si="74"/>
        <v>-2.3893978958808222</v>
      </c>
      <c r="E70" s="728">
        <f t="shared" si="74"/>
        <v>-5.5967738778067089</v>
      </c>
      <c r="F70" s="728">
        <f t="shared" si="74"/>
        <v>-3.4898743016759717</v>
      </c>
      <c r="G70" s="728"/>
      <c r="H70" s="728"/>
      <c r="I70" s="728">
        <f t="shared" si="74"/>
        <v>-3.2858889431955927</v>
      </c>
      <c r="J70" s="728">
        <f t="shared" si="74"/>
        <v>-1.1274148320704862</v>
      </c>
      <c r="K70" s="728"/>
      <c r="L70" s="721"/>
      <c r="M70" s="554"/>
      <c r="N70" s="554"/>
      <c r="O70" s="554"/>
      <c r="P70" s="565" t="s">
        <v>61</v>
      </c>
      <c r="Q70" s="568" t="s">
        <v>69</v>
      </c>
      <c r="R70" s="680">
        <f t="shared" si="73"/>
        <v>-1.0503316426063116</v>
      </c>
      <c r="S70" s="669">
        <f t="shared" si="73"/>
        <v>-100</v>
      </c>
      <c r="T70" s="669">
        <f t="shared" si="73"/>
        <v>-1.5433503746761086</v>
      </c>
      <c r="U70" s="669">
        <f t="shared" si="73"/>
        <v>-3.5800083157521958</v>
      </c>
      <c r="V70" s="669">
        <f t="shared" si="73"/>
        <v>-3.4776080396883242</v>
      </c>
      <c r="W70" s="669">
        <f t="shared" si="73"/>
        <v>-100</v>
      </c>
      <c r="X70" s="669">
        <f t="shared" si="73"/>
        <v>-0.49825203080931257</v>
      </c>
      <c r="Y70" s="669">
        <f t="shared" si="73"/>
        <v>-2.5565287030665065</v>
      </c>
      <c r="Z70" s="721">
        <f t="shared" si="73"/>
        <v>-2.4530414678248187</v>
      </c>
      <c r="AA70" s="554"/>
    </row>
    <row r="71" spans="2:27" ht="16" thickBot="1">
      <c r="B71" s="565" t="s">
        <v>60</v>
      </c>
      <c r="C71" s="568" t="s">
        <v>68</v>
      </c>
      <c r="D71" s="725">
        <f t="shared" si="74"/>
        <v>-0.7360621491056214</v>
      </c>
      <c r="E71" s="726">
        <f t="shared" si="74"/>
        <v>4.2966546897080509</v>
      </c>
      <c r="F71" s="726">
        <f t="shared" si="74"/>
        <v>5.1776730182624808</v>
      </c>
      <c r="G71" s="726">
        <f t="shared" si="74"/>
        <v>1.5371814357031908</v>
      </c>
      <c r="H71" s="726">
        <f t="shared" si="74"/>
        <v>3.5479669952088266</v>
      </c>
      <c r="I71" s="726">
        <f t="shared" si="74"/>
        <v>5.0700354507126111</v>
      </c>
      <c r="J71" s="726">
        <f t="shared" si="74"/>
        <v>5.9575867081267795</v>
      </c>
      <c r="K71" s="726">
        <f t="shared" si="74"/>
        <v>2.2901001451539007</v>
      </c>
      <c r="L71" s="720">
        <f t="shared" si="74"/>
        <v>4.3157960857341129</v>
      </c>
      <c r="M71" s="554"/>
      <c r="N71" s="554"/>
      <c r="O71" s="554"/>
      <c r="P71" s="565" t="s">
        <v>61</v>
      </c>
      <c r="Q71" s="568" t="s">
        <v>70</v>
      </c>
      <c r="R71" s="680">
        <f t="shared" si="73"/>
        <v>6.9528403226825795</v>
      </c>
      <c r="S71" s="669">
        <f t="shared" si="73"/>
        <v>-12.35513940208263</v>
      </c>
      <c r="T71" s="669">
        <f t="shared" si="73"/>
        <v>-9.8974302415352327</v>
      </c>
      <c r="U71" s="669">
        <f t="shared" si="73"/>
        <v>-1.3544727210752148</v>
      </c>
      <c r="V71" s="669">
        <f t="shared" si="73"/>
        <v>-2.4704658919851954</v>
      </c>
      <c r="W71" s="669">
        <f t="shared" si="73"/>
        <v>-18.05279753815978</v>
      </c>
      <c r="X71" s="669">
        <f t="shared" si="73"/>
        <v>-15.754860285504924</v>
      </c>
      <c r="Y71" s="669">
        <f t="shared" si="73"/>
        <v>-7.767267347640491</v>
      </c>
      <c r="Z71" s="721">
        <f t="shared" si="73"/>
        <v>-8.810711511949707</v>
      </c>
      <c r="AA71" s="554"/>
    </row>
    <row r="72" spans="2:27" ht="16" thickBot="1">
      <c r="B72" s="565" t="s">
        <v>60</v>
      </c>
      <c r="C72" s="568" t="s">
        <v>71</v>
      </c>
      <c r="D72" s="727">
        <f t="shared" si="74"/>
        <v>4.1305775304086696</v>
      </c>
      <c r="E72" s="728">
        <f t="shared" si="74"/>
        <v>1.4006055005481868</v>
      </c>
      <c r="F72" s="728">
        <f t="shared" si="74"/>
        <v>-6.5800383164270819</v>
      </c>
      <c r="G72" s="728">
        <f t="shared" si="74"/>
        <v>-9.6174611605934626</v>
      </c>
      <c r="H72" s="728">
        <f t="shared" si="74"/>
        <v>-2.5667242813260089</v>
      </c>
      <c r="I72" s="728">
        <f t="shared" si="74"/>
        <v>-2.6216814451675097</v>
      </c>
      <c r="J72" s="728">
        <f t="shared" si="74"/>
        <v>-10.285754771414764</v>
      </c>
      <c r="K72" s="728">
        <f t="shared" si="74"/>
        <v>-13.202691291121818</v>
      </c>
      <c r="L72" s="721">
        <f t="shared" si="74"/>
        <v>-6.4316380169685567</v>
      </c>
      <c r="M72" s="554"/>
      <c r="N72" s="554"/>
      <c r="O72" s="554"/>
      <c r="P72" s="571" t="s">
        <v>61</v>
      </c>
      <c r="Q72" s="568" t="s">
        <v>74</v>
      </c>
      <c r="R72" s="681">
        <f t="shared" si="73"/>
        <v>-10.837479827864453</v>
      </c>
      <c r="S72" s="682">
        <f t="shared" si="73"/>
        <v>-9.6471429736200331</v>
      </c>
      <c r="T72" s="682">
        <f t="shared" si="73"/>
        <v>-2.6249841677673817</v>
      </c>
      <c r="U72" s="682">
        <f t="shared" si="73"/>
        <v>6.7100639053705224</v>
      </c>
      <c r="V72" s="682">
        <f t="shared" si="73"/>
        <v>-0.23870985830637004</v>
      </c>
      <c r="W72" s="682">
        <f>(W29-W11)/W11*100</f>
        <v>1.3350193017720611</v>
      </c>
      <c r="X72" s="682">
        <f t="shared" si="73"/>
        <v>9.21070382963849</v>
      </c>
      <c r="Y72" s="682">
        <f t="shared" si="73"/>
        <v>19.680403491689116</v>
      </c>
      <c r="Z72" s="722">
        <f t="shared" si="73"/>
        <v>11.887023773101408</v>
      </c>
      <c r="AA72" s="554"/>
    </row>
    <row r="73" spans="2:27" ht="16" thickBot="1">
      <c r="B73" s="565" t="s">
        <v>60</v>
      </c>
      <c r="C73" s="568" t="s">
        <v>72</v>
      </c>
      <c r="D73" s="725">
        <f t="shared" si="74"/>
        <v>3.3276674785778102</v>
      </c>
      <c r="E73" s="726">
        <f t="shared" si="74"/>
        <v>-5.5892269406759221</v>
      </c>
      <c r="F73" s="726">
        <f t="shared" si="74"/>
        <v>-5.842998823331647</v>
      </c>
      <c r="G73" s="726">
        <f t="shared" si="74"/>
        <v>-2.0394631837665411</v>
      </c>
      <c r="H73" s="726">
        <f t="shared" si="74"/>
        <v>-4.5639983467618874</v>
      </c>
      <c r="I73" s="726">
        <f t="shared" si="74"/>
        <v>-8.6297258390183043</v>
      </c>
      <c r="J73" s="726">
        <f t="shared" si="74"/>
        <v>-8.8753249983222169</v>
      </c>
      <c r="K73" s="726">
        <f t="shared" si="74"/>
        <v>-5.1942822220941665</v>
      </c>
      <c r="L73" s="720">
        <f t="shared" si="74"/>
        <v>-7.6375147314496639</v>
      </c>
      <c r="M73" s="554"/>
      <c r="N73" s="554"/>
      <c r="O73" s="554"/>
      <c r="P73" s="554"/>
      <c r="Q73" s="572" t="s">
        <v>76</v>
      </c>
      <c r="R73" s="573">
        <f>AVERAGE(R66:R72)</f>
        <v>-1.7682281856288262</v>
      </c>
      <c r="S73" s="573">
        <f t="shared" ref="S73:Y73" si="75">AVERAGE(S66:S72)</f>
        <v>-17.613770640637782</v>
      </c>
      <c r="T73" s="573">
        <f t="shared" si="75"/>
        <v>-0.76378923053230807</v>
      </c>
      <c r="U73" s="573">
        <f t="shared" si="75"/>
        <v>-10.990810760248019</v>
      </c>
      <c r="V73" s="573">
        <f t="shared" si="75"/>
        <v>0.99658316903924493</v>
      </c>
      <c r="W73" s="670">
        <f t="shared" si="75"/>
        <v>-15.744644315147045</v>
      </c>
      <c r="X73" s="670">
        <f t="shared" si="75"/>
        <v>1.3156277602572644</v>
      </c>
      <c r="Y73" s="670">
        <f t="shared" si="75"/>
        <v>-9.1828538971652467</v>
      </c>
      <c r="Z73" s="670">
        <f>AVERAGE(Z66:Z72)</f>
        <v>2.9991284587536517</v>
      </c>
      <c r="AA73" s="554"/>
    </row>
    <row r="74" spans="2:27" ht="16" thickBot="1">
      <c r="B74" s="571" t="s">
        <v>60</v>
      </c>
      <c r="C74" s="568" t="s">
        <v>73</v>
      </c>
      <c r="D74" s="729">
        <f t="shared" si="74"/>
        <v>4.2856409642264568</v>
      </c>
      <c r="E74" s="730">
        <f t="shared" si="74"/>
        <v>0.41063237385574236</v>
      </c>
      <c r="F74" s="730">
        <f t="shared" si="74"/>
        <v>5.6859330017543695E-2</v>
      </c>
      <c r="G74" s="730">
        <f t="shared" si="74"/>
        <v>1.2820859589032021</v>
      </c>
      <c r="H74" s="730">
        <f t="shared" si="74"/>
        <v>0.33948178339710899</v>
      </c>
      <c r="I74" s="730">
        <f t="shared" si="74"/>
        <v>-3.7157642744891182</v>
      </c>
      <c r="J74" s="730">
        <f t="shared" si="74"/>
        <v>-4.0549989385974206</v>
      </c>
      <c r="K74" s="730">
        <f t="shared" si="74"/>
        <v>-2.8801232629462081</v>
      </c>
      <c r="L74" s="722">
        <f t="shared" si="74"/>
        <v>-3.7839909160485665</v>
      </c>
      <c r="M74" s="554"/>
      <c r="N74" s="554"/>
      <c r="O74" s="554"/>
      <c r="P74" s="554"/>
      <c r="Q74" s="572" t="s">
        <v>13</v>
      </c>
      <c r="R74" s="573">
        <f>STDEVA(R66:R72)</f>
        <v>5.9623603824388045</v>
      </c>
      <c r="S74" s="573">
        <f t="shared" ref="S74:Y74" si="76">STDEVA(S66:S72)</f>
        <v>36.762886879430425</v>
      </c>
      <c r="T74" s="573">
        <f t="shared" si="76"/>
        <v>6.5350974422935302</v>
      </c>
      <c r="U74" s="573">
        <f t="shared" si="76"/>
        <v>40.601955667272783</v>
      </c>
      <c r="V74" s="573">
        <f t="shared" si="76"/>
        <v>7.486293438505955</v>
      </c>
      <c r="W74" s="670">
        <f t="shared" si="76"/>
        <v>37.924980619218609</v>
      </c>
      <c r="X74" s="670">
        <f t="shared" si="76"/>
        <v>8.3251534182573277</v>
      </c>
      <c r="Y74" s="670">
        <f t="shared" si="76"/>
        <v>41.509541646091336</v>
      </c>
      <c r="Z74" s="670">
        <f>STDEVA(Z66:Z72)</f>
        <v>7.6962038101093642</v>
      </c>
      <c r="AA74" s="554"/>
    </row>
    <row r="75" spans="2:27">
      <c r="B75" s="554"/>
      <c r="C75" s="572" t="s">
        <v>76</v>
      </c>
      <c r="D75" s="573">
        <f>AVERAGE(D66:D74)</f>
        <v>0.28496696141192346</v>
      </c>
      <c r="E75" s="573">
        <f t="shared" ref="E75:K75" si="77">AVERAGE(E66:E74)</f>
        <v>-1.3631433527028256</v>
      </c>
      <c r="F75" s="573">
        <f t="shared" si="77"/>
        <v>-2.4694343650973432</v>
      </c>
      <c r="G75" s="573">
        <f t="shared" si="77"/>
        <v>-3.9419725309641267</v>
      </c>
      <c r="H75" s="573">
        <f t="shared" si="77"/>
        <v>-2.593229737700617</v>
      </c>
      <c r="I75" s="573">
        <f t="shared" si="77"/>
        <v>-1.6608231074336908</v>
      </c>
      <c r="J75" s="573">
        <f t="shared" si="77"/>
        <v>-2.7141366844927326</v>
      </c>
      <c r="K75" s="573">
        <f t="shared" si="77"/>
        <v>-4.4044192935094344</v>
      </c>
      <c r="L75" s="573">
        <f>AVERAGE(L66:L74)</f>
        <v>-3.129847606677659</v>
      </c>
      <c r="M75" s="554"/>
      <c r="N75" s="554"/>
      <c r="O75" s="554"/>
      <c r="P75" s="554"/>
      <c r="Q75" s="572" t="s">
        <v>14</v>
      </c>
      <c r="R75" s="573">
        <f>R74/SQRT(COUNT(R66:R72))</f>
        <v>2.2535603998395772</v>
      </c>
      <c r="S75" s="573">
        <f t="shared" ref="S75:Z75" si="78">S74/SQRT(COUNT(S66:S72))</f>
        <v>13.895065165681753</v>
      </c>
      <c r="T75" s="573">
        <f t="shared" si="78"/>
        <v>2.4700346608404229</v>
      </c>
      <c r="U75" s="573">
        <f t="shared" si="78"/>
        <v>15.346096776924764</v>
      </c>
      <c r="V75" s="573">
        <f t="shared" si="78"/>
        <v>2.829552954277339</v>
      </c>
      <c r="W75" s="670">
        <f t="shared" si="78"/>
        <v>14.334295313628116</v>
      </c>
      <c r="X75" s="670">
        <f t="shared" si="78"/>
        <v>3.1466122244525976</v>
      </c>
      <c r="Y75" s="670">
        <f t="shared" si="78"/>
        <v>15.689132033119481</v>
      </c>
      <c r="Z75" s="670">
        <f t="shared" si="78"/>
        <v>2.9088916172595924</v>
      </c>
      <c r="AA75" s="554"/>
    </row>
    <row r="76" spans="2:27">
      <c r="B76" s="554"/>
      <c r="C76" s="572" t="s">
        <v>13</v>
      </c>
      <c r="D76" s="573">
        <f>STDEVA(D66:D74)</f>
        <v>4.2078465257204316</v>
      </c>
      <c r="E76" s="573">
        <f t="shared" ref="E76:K76" si="79">STDEVA(E66:E74)</f>
        <v>6.4668839858020819</v>
      </c>
      <c r="F76" s="573">
        <f t="shared" si="79"/>
        <v>6.3229149160836062</v>
      </c>
      <c r="G76" s="573">
        <f t="shared" si="79"/>
        <v>4.7005992279302831</v>
      </c>
      <c r="H76" s="573">
        <f t="shared" si="79"/>
        <v>4.2567154330895081</v>
      </c>
      <c r="I76" s="573">
        <f t="shared" si="79"/>
        <v>4.7485012321861362</v>
      </c>
      <c r="J76" s="573">
        <f t="shared" si="79"/>
        <v>5.5296135385070846</v>
      </c>
      <c r="K76" s="573">
        <f t="shared" si="79"/>
        <v>5.6690909994201935</v>
      </c>
      <c r="L76" s="573">
        <f>STDEVA(L66:L74)</f>
        <v>3.7183917681504299</v>
      </c>
      <c r="M76" s="554"/>
      <c r="N76" s="554"/>
      <c r="O76" s="554"/>
      <c r="P76" s="554"/>
      <c r="Q76" s="554"/>
      <c r="R76" s="574"/>
      <c r="S76" s="574"/>
      <c r="T76" s="574"/>
      <c r="U76" s="574"/>
      <c r="V76" s="574"/>
      <c r="W76" s="574"/>
      <c r="X76" s="574"/>
      <c r="Y76" s="574"/>
      <c r="Z76" s="574"/>
      <c r="AA76" s="554"/>
    </row>
    <row r="77" spans="2:27">
      <c r="B77" s="554"/>
      <c r="C77" s="572" t="s">
        <v>14</v>
      </c>
      <c r="D77" s="573">
        <f>D76/SQRT(COUNT(D66:D74))</f>
        <v>1.4026155085734773</v>
      </c>
      <c r="E77" s="573">
        <f t="shared" ref="E77:L77" si="80">E76/SQRT(COUNT(E66:E74))</f>
        <v>2.1556279952673605</v>
      </c>
      <c r="F77" s="573">
        <f t="shared" si="80"/>
        <v>2.1076383053612022</v>
      </c>
      <c r="G77" s="573">
        <f t="shared" si="80"/>
        <v>1.6619127948548764</v>
      </c>
      <c r="H77" s="573">
        <f t="shared" si="80"/>
        <v>1.5049761741595111</v>
      </c>
      <c r="I77" s="573">
        <f t="shared" si="80"/>
        <v>1.5828337440620455</v>
      </c>
      <c r="J77" s="573">
        <f t="shared" si="80"/>
        <v>1.8432045128356949</v>
      </c>
      <c r="K77" s="573">
        <f t="shared" si="80"/>
        <v>2.0043263444268202</v>
      </c>
      <c r="L77" s="573">
        <f t="shared" si="80"/>
        <v>1.3146500171837028</v>
      </c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</row>
    <row r="78" spans="2:27">
      <c r="B78" s="554"/>
      <c r="C78" s="554" t="s">
        <v>100</v>
      </c>
      <c r="D78" s="554"/>
      <c r="E78" s="554"/>
      <c r="F78" s="554"/>
      <c r="G78" s="554"/>
      <c r="H78" s="554"/>
      <c r="I78" s="554"/>
      <c r="J78" s="554"/>
      <c r="K78" s="554"/>
      <c r="L78" s="554"/>
      <c r="M78" s="554"/>
      <c r="N78" s="554"/>
      <c r="O78" s="554"/>
      <c r="P78" s="554"/>
      <c r="Q78" s="554"/>
      <c r="R78" s="554"/>
      <c r="S78" s="554"/>
      <c r="T78" s="554"/>
      <c r="U78" s="554"/>
      <c r="V78" s="554"/>
      <c r="W78" s="554"/>
      <c r="X78" s="554"/>
      <c r="Y78" s="554"/>
      <c r="Z78" s="554"/>
      <c r="AA78" s="554"/>
    </row>
    <row r="79" spans="2:27">
      <c r="B79" s="554"/>
      <c r="C79" s="554" t="s">
        <v>99</v>
      </c>
      <c r="D79" s="554"/>
      <c r="E79" s="554"/>
      <c r="F79" s="554"/>
      <c r="G79" s="554"/>
      <c r="H79" s="554"/>
      <c r="I79" s="554"/>
      <c r="J79" s="554"/>
      <c r="K79" s="554"/>
      <c r="L79" s="574"/>
      <c r="M79" s="554"/>
      <c r="N79" s="554"/>
      <c r="O79" s="554"/>
      <c r="P79" s="554"/>
      <c r="Q79" s="554"/>
      <c r="R79" s="554"/>
      <c r="S79" s="554"/>
      <c r="T79" s="554"/>
      <c r="U79" s="554"/>
      <c r="V79" s="554"/>
      <c r="W79" s="554"/>
      <c r="X79" s="554"/>
      <c r="Y79" s="554"/>
      <c r="Z79" s="554"/>
      <c r="AA79" s="554"/>
    </row>
  </sheetData>
  <mergeCells count="32">
    <mergeCell ref="S45:V45"/>
    <mergeCell ref="W45:Z45"/>
    <mergeCell ref="B63:C63"/>
    <mergeCell ref="P63:Q63"/>
    <mergeCell ref="B64:C65"/>
    <mergeCell ref="E64:H64"/>
    <mergeCell ref="I64:L64"/>
    <mergeCell ref="P64:Q65"/>
    <mergeCell ref="S64:V64"/>
    <mergeCell ref="W64:Z64"/>
    <mergeCell ref="B44:C44"/>
    <mergeCell ref="B45:C46"/>
    <mergeCell ref="E45:H45"/>
    <mergeCell ref="I45:L45"/>
    <mergeCell ref="P44:Q44"/>
    <mergeCell ref="P45:Q46"/>
    <mergeCell ref="B2:C2"/>
    <mergeCell ref="B3:C4"/>
    <mergeCell ref="P2:Q2"/>
    <mergeCell ref="P3:Q4"/>
    <mergeCell ref="W21:Z21"/>
    <mergeCell ref="W3:Z3"/>
    <mergeCell ref="B19:C19"/>
    <mergeCell ref="B20:C21"/>
    <mergeCell ref="P20:Q20"/>
    <mergeCell ref="P21:Q22"/>
    <mergeCell ref="S3:V3"/>
    <mergeCell ref="S21:V21"/>
    <mergeCell ref="E20:H20"/>
    <mergeCell ref="E3:H3"/>
    <mergeCell ref="I3:L3"/>
    <mergeCell ref="I20:L20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opLeftCell="A39" zoomScale="71" zoomScaleNormal="90" workbookViewId="0">
      <selection activeCell="P60" sqref="P60"/>
    </sheetView>
  </sheetViews>
  <sheetFormatPr baseColWidth="10" defaultRowHeight="15.5"/>
  <cols>
    <col min="19" max="19" width="10.83203125" style="8"/>
  </cols>
  <sheetData>
    <row r="1" spans="2:31">
      <c r="B1" t="s">
        <v>125</v>
      </c>
    </row>
    <row r="2" spans="2:31" ht="16" thickBot="1"/>
    <row r="3" spans="2:31" ht="16" thickBot="1">
      <c r="B3" s="1331" t="s">
        <v>47</v>
      </c>
      <c r="C3" s="1332"/>
      <c r="L3" s="1331" t="s">
        <v>47</v>
      </c>
      <c r="M3" s="1332"/>
      <c r="U3" s="1331" t="s">
        <v>47</v>
      </c>
      <c r="V3" s="1332"/>
      <c r="AA3" s="1331" t="s">
        <v>47</v>
      </c>
      <c r="AB3" s="1332"/>
    </row>
    <row r="4" spans="2:31">
      <c r="B4" s="1344" t="s">
        <v>77</v>
      </c>
      <c r="C4" s="1391"/>
      <c r="D4" s="149" t="s">
        <v>124</v>
      </c>
      <c r="E4" s="1329" t="s">
        <v>126</v>
      </c>
      <c r="F4" s="175" t="s">
        <v>127</v>
      </c>
      <c r="G4" s="1329" t="s">
        <v>40</v>
      </c>
      <c r="H4" s="1329" t="s">
        <v>128</v>
      </c>
      <c r="L4" s="1344" t="s">
        <v>77</v>
      </c>
      <c r="M4" s="1391"/>
      <c r="N4" s="149" t="s">
        <v>124</v>
      </c>
      <c r="O4" s="1329" t="s">
        <v>126</v>
      </c>
      <c r="P4" s="175" t="s">
        <v>127</v>
      </c>
      <c r="Q4" s="1329" t="s">
        <v>40</v>
      </c>
      <c r="R4" s="1329" t="s">
        <v>128</v>
      </c>
      <c r="U4" s="1344" t="s">
        <v>77</v>
      </c>
      <c r="V4" s="1391"/>
      <c r="W4" s="149" t="s">
        <v>124</v>
      </c>
      <c r="X4" s="532" t="s">
        <v>31</v>
      </c>
      <c r="Y4" s="149"/>
      <c r="AA4" s="1344" t="s">
        <v>77</v>
      </c>
      <c r="AB4" s="1391"/>
      <c r="AC4" s="149" t="s">
        <v>124</v>
      </c>
      <c r="AD4" s="537" t="s">
        <v>31</v>
      </c>
      <c r="AE4" s="522"/>
    </row>
    <row r="5" spans="2:31" ht="16" thickBot="1">
      <c r="B5" s="1336"/>
      <c r="C5" s="1392"/>
      <c r="D5" s="177" t="s">
        <v>20</v>
      </c>
      <c r="E5" s="1416"/>
      <c r="F5" s="178" t="s">
        <v>129</v>
      </c>
      <c r="G5" s="1416"/>
      <c r="H5" s="1416"/>
      <c r="L5" s="1336"/>
      <c r="M5" s="1392"/>
      <c r="N5" s="177" t="s">
        <v>20</v>
      </c>
      <c r="O5" s="1416"/>
      <c r="P5" s="178" t="s">
        <v>129</v>
      </c>
      <c r="Q5" s="1416"/>
      <c r="R5" s="1416"/>
      <c r="U5" s="1336"/>
      <c r="V5" s="1392"/>
      <c r="W5" s="215" t="s">
        <v>20</v>
      </c>
      <c r="X5" s="533" t="s">
        <v>2</v>
      </c>
      <c r="Y5" s="215" t="s">
        <v>21</v>
      </c>
      <c r="AA5" s="1336"/>
      <c r="AB5" s="1392"/>
      <c r="AC5" s="177" t="s">
        <v>20</v>
      </c>
      <c r="AD5" s="538" t="s">
        <v>2</v>
      </c>
      <c r="AE5" s="178" t="s">
        <v>21</v>
      </c>
    </row>
    <row r="6" spans="2:31" ht="16" thickBot="1">
      <c r="B6" s="32" t="s">
        <v>60</v>
      </c>
      <c r="C6" s="133" t="s">
        <v>57</v>
      </c>
      <c r="D6" s="160">
        <f>'[1]Lode 60+20min'!$H$3</f>
        <v>378.96293834136611</v>
      </c>
      <c r="E6" s="160">
        <f>'[1]Lode 60+20min'!$I$3</f>
        <v>85.528170184477318</v>
      </c>
      <c r="F6" s="152">
        <f>'[1]60min + sprinter + 20min'!$Y$17</f>
        <v>11.08</v>
      </c>
      <c r="G6" s="163">
        <f>'[1]60min + sprinter + 20min'!$V$17</f>
        <v>19</v>
      </c>
      <c r="H6" s="160"/>
      <c r="L6" s="89" t="s">
        <v>61</v>
      </c>
      <c r="M6" s="133" t="s">
        <v>58</v>
      </c>
      <c r="N6" s="160">
        <f>'[2]Lode 60+20min'!$H$3</f>
        <v>295.62398272712176</v>
      </c>
      <c r="O6" s="160">
        <f>'[2]Lode 60+20min'!$I$3</f>
        <v>107.74688589935226</v>
      </c>
      <c r="P6" s="152">
        <f>'[2]60min + sprinter + 20min'!$Y$17</f>
        <v>10.73</v>
      </c>
      <c r="Q6" s="163">
        <f>'[2]60min + sprinter + 20min'!$V$17</f>
        <v>20</v>
      </c>
      <c r="R6" s="160"/>
      <c r="U6" s="32" t="s">
        <v>60</v>
      </c>
      <c r="V6" s="133" t="s">
        <v>57</v>
      </c>
      <c r="W6" s="159">
        <f>'[1]Lode 60+20min'!$H$3</f>
        <v>378.96293834136611</v>
      </c>
      <c r="X6" s="50">
        <v>79.8</v>
      </c>
      <c r="Y6" s="154">
        <f>W6/X6</f>
        <v>4.748909001771505</v>
      </c>
      <c r="AA6" s="89" t="s">
        <v>61</v>
      </c>
      <c r="AB6" s="133" t="s">
        <v>58</v>
      </c>
      <c r="AC6" s="160">
        <f>'[2]Lode 60+20min'!$H$3</f>
        <v>295.62398272712176</v>
      </c>
      <c r="AD6" s="20">
        <v>74</v>
      </c>
      <c r="AE6" s="152">
        <f>AC6/AD6</f>
        <v>3.9949186855016454</v>
      </c>
    </row>
    <row r="7" spans="2:31" ht="16" thickBot="1">
      <c r="B7" s="32" t="s">
        <v>60</v>
      </c>
      <c r="C7" s="134" t="s">
        <v>59</v>
      </c>
      <c r="D7" s="160">
        <f>'[3]Lode 60+20min'!$H$3</f>
        <v>355.03807781842369</v>
      </c>
      <c r="E7" s="160">
        <f>'[3]Lode 60+20min'!$I$3</f>
        <v>77.912371134020617</v>
      </c>
      <c r="F7" s="152">
        <f>'[3]60min + sprinter + 20min'!$Y$17</f>
        <v>6.09</v>
      </c>
      <c r="G7" s="163">
        <f>'[3]60min + sprinter + 20min'!$V$17</f>
        <v>18</v>
      </c>
      <c r="H7" s="160"/>
      <c r="L7" s="32" t="s">
        <v>61</v>
      </c>
      <c r="M7" s="133" t="s">
        <v>63</v>
      </c>
      <c r="N7" s="160">
        <f>'[4]Lode 60+20min'!$H$3</f>
        <v>236.23523556735236</v>
      </c>
      <c r="O7" s="160">
        <f>'[4]Lode 60+20min'!$I$3</f>
        <v>89.888686131386862</v>
      </c>
      <c r="P7" s="180">
        <f>'[4]60min + sprinter + 20min'!$Y$17</f>
        <v>2.4300000000000002</v>
      </c>
      <c r="Q7" s="181">
        <f>'[4]60min + sprinter + 20min'!$V$17</f>
        <v>12</v>
      </c>
      <c r="R7" s="160"/>
      <c r="S7" s="539" t="s">
        <v>133</v>
      </c>
      <c r="U7" s="32" t="s">
        <v>60</v>
      </c>
      <c r="V7" s="134" t="s">
        <v>59</v>
      </c>
      <c r="W7" s="160">
        <f>'[3]Lode 60+20min'!$H$3</f>
        <v>355.03807781842369</v>
      </c>
      <c r="X7" s="50">
        <v>72.099999999999994</v>
      </c>
      <c r="Y7" s="154">
        <f t="shared" ref="Y7:Y14" si="0">W7/X7</f>
        <v>4.9242451847215492</v>
      </c>
      <c r="AA7" s="32" t="s">
        <v>61</v>
      </c>
      <c r="AB7" s="133" t="s">
        <v>63</v>
      </c>
      <c r="AC7" s="160">
        <f>'[4]Lode 60+20min'!$H$3</f>
        <v>236.23523556735236</v>
      </c>
      <c r="AD7" s="2">
        <v>74</v>
      </c>
      <c r="AE7" s="152">
        <f t="shared" ref="AE7:AE12" si="1">AC7/AD7</f>
        <v>3.1923680482074643</v>
      </c>
    </row>
    <row r="8" spans="2:31" ht="16" thickBot="1">
      <c r="B8" s="32" t="s">
        <v>60</v>
      </c>
      <c r="C8" s="133" t="s">
        <v>62</v>
      </c>
      <c r="D8" s="160">
        <f>'[5]Lode 60+20min'!$H$3</f>
        <v>258.71799567171632</v>
      </c>
      <c r="E8" s="160">
        <f>'[5]Lode 60+20min'!$I$3</f>
        <v>74.261151797603191</v>
      </c>
      <c r="F8" s="183">
        <f>'[5]60min + sprinter + 20min 29.09'!$Y$17</f>
        <v>8.08</v>
      </c>
      <c r="G8" s="163">
        <f>'[5]60min + sprinter + 20min 29.09'!$V$17</f>
        <v>19</v>
      </c>
      <c r="H8" s="160"/>
      <c r="I8" t="s">
        <v>115</v>
      </c>
      <c r="L8" s="32" t="s">
        <v>61</v>
      </c>
      <c r="M8" s="133" t="s">
        <v>65</v>
      </c>
      <c r="N8" s="160">
        <f>'[6]Lode 60+20min'!$H$3</f>
        <v>370.91231311943557</v>
      </c>
      <c r="O8" s="160">
        <f>'[6]Lode 60+20min'!$I$3</f>
        <v>96.311668882978722</v>
      </c>
      <c r="P8" s="152">
        <f>'[6]60min + sprinter + 20min'!$Y$17</f>
        <v>3.32</v>
      </c>
      <c r="Q8" s="163">
        <f>'[6]60min + sprinter + 20min'!$V$17</f>
        <v>19</v>
      </c>
      <c r="R8" s="160"/>
      <c r="U8" s="32" t="s">
        <v>60</v>
      </c>
      <c r="V8" s="133" t="s">
        <v>62</v>
      </c>
      <c r="W8" s="160">
        <f>'[5]Lode 60+20min'!$H$3</f>
        <v>258.71799567171632</v>
      </c>
      <c r="X8" s="519">
        <v>72.8</v>
      </c>
      <c r="Y8" s="154">
        <f t="shared" si="0"/>
        <v>3.5538186218642354</v>
      </c>
      <c r="AA8" s="32" t="s">
        <v>61</v>
      </c>
      <c r="AB8" s="133" t="s">
        <v>65</v>
      </c>
      <c r="AC8" s="160">
        <f>'[6]Lode 60+20min'!$H$3</f>
        <v>370.91231311943557</v>
      </c>
      <c r="AD8" s="2">
        <v>83.9</v>
      </c>
      <c r="AE8" s="152">
        <f t="shared" si="1"/>
        <v>4.4208857344390413</v>
      </c>
    </row>
    <row r="9" spans="2:31" ht="16" thickBot="1">
      <c r="B9" s="32" t="s">
        <v>60</v>
      </c>
      <c r="C9" s="133" t="s">
        <v>64</v>
      </c>
      <c r="D9" s="160">
        <f>'[7]Lode 60+20min'!$H$3</f>
        <v>250.53271934076588</v>
      </c>
      <c r="E9" s="160">
        <f>'[7]Lode 60+20min'!$I$3</f>
        <v>90.552593310712552</v>
      </c>
      <c r="F9" s="152">
        <f>'[7]60min + sprinter + 20min'!$Y$17</f>
        <v>9.35</v>
      </c>
      <c r="G9" s="163">
        <f>'[7]60min + sprinter + 20min'!$V$17</f>
        <v>19</v>
      </c>
      <c r="H9" s="160"/>
      <c r="L9" s="33" t="s">
        <v>61</v>
      </c>
      <c r="M9" s="133" t="s">
        <v>66</v>
      </c>
      <c r="N9" s="160">
        <f>'[8]Lode 60+20min'!$H$3</f>
        <v>334.50275321208073</v>
      </c>
      <c r="O9" s="160">
        <f>'[8]Lode 60+20min'!$I$3</f>
        <v>88.833222370173104</v>
      </c>
      <c r="P9" s="180">
        <f>'[8]60min + sprinter + 20min'!$Y$17</f>
        <v>2.71</v>
      </c>
      <c r="Q9" s="163">
        <f>'[8]60min + sprinter + 20min'!$V$17</f>
        <v>19</v>
      </c>
      <c r="R9" s="160"/>
      <c r="U9" s="32" t="s">
        <v>60</v>
      </c>
      <c r="V9" s="133" t="s">
        <v>64</v>
      </c>
      <c r="W9" s="160">
        <f>'[7]Lode 60+20min'!$H$3</f>
        <v>250.53271934076588</v>
      </c>
      <c r="X9" s="50">
        <v>63.2</v>
      </c>
      <c r="Y9" s="154">
        <f t="shared" si="0"/>
        <v>3.9641253060247763</v>
      </c>
      <c r="AA9" s="33" t="s">
        <v>61</v>
      </c>
      <c r="AB9" s="133" t="s">
        <v>66</v>
      </c>
      <c r="AC9" s="160">
        <f>'[8]Lode 60+20min'!$H$3</f>
        <v>334.50275321208073</v>
      </c>
      <c r="AD9" s="2">
        <v>85.8</v>
      </c>
      <c r="AE9" s="152">
        <f t="shared" si="1"/>
        <v>3.8986334873202884</v>
      </c>
    </row>
    <row r="10" spans="2:31" ht="16" thickBot="1">
      <c r="B10" s="33" t="s">
        <v>60</v>
      </c>
      <c r="C10" s="133" t="s">
        <v>67</v>
      </c>
      <c r="D10" s="160">
        <f>'[9]Lode 60+20min'!$H$3</f>
        <v>296.80736735383573</v>
      </c>
      <c r="E10" s="160">
        <f>'[9]Lode 60+20min'!$I$3</f>
        <v>88.325785738425139</v>
      </c>
      <c r="F10" s="152"/>
      <c r="G10" s="163"/>
      <c r="H10" s="160"/>
      <c r="I10" t="s">
        <v>131</v>
      </c>
      <c r="L10" s="32" t="s">
        <v>61</v>
      </c>
      <c r="M10" s="133" t="s">
        <v>69</v>
      </c>
      <c r="N10" s="160">
        <f>'[10]Lode 60+20min'!$H$3</f>
        <v>336.47541528239202</v>
      </c>
      <c r="O10" s="160">
        <f>'[10]Lode 60+20min'!$I$3</f>
        <v>84.134219269102985</v>
      </c>
      <c r="P10" s="180">
        <f>'[10]60min + sprinter + 20min'!$Y$17</f>
        <v>2.37</v>
      </c>
      <c r="Q10" s="163">
        <f>'[10]60min + sprinter + 20min'!$V$17</f>
        <v>17</v>
      </c>
      <c r="R10" s="160"/>
      <c r="U10" s="33" t="s">
        <v>60</v>
      </c>
      <c r="V10" s="133" t="s">
        <v>67</v>
      </c>
      <c r="W10" s="160">
        <f>'[9]Lode 60+20min'!$H$3</f>
        <v>296.80736735383573</v>
      </c>
      <c r="X10" s="50">
        <v>73.900000000000006</v>
      </c>
      <c r="Y10" s="154">
        <f t="shared" si="0"/>
        <v>4.0163378532318772</v>
      </c>
      <c r="AA10" s="32" t="s">
        <v>61</v>
      </c>
      <c r="AB10" s="133" t="s">
        <v>69</v>
      </c>
      <c r="AC10" s="160">
        <f>'[10]Lode 60+20min'!$H$3</f>
        <v>336.47541528239202</v>
      </c>
      <c r="AD10" s="2">
        <v>71</v>
      </c>
      <c r="AE10" s="152">
        <f t="shared" si="1"/>
        <v>4.7390903560900286</v>
      </c>
    </row>
    <row r="11" spans="2:31" ht="16" thickBot="1">
      <c r="B11" s="32" t="s">
        <v>60</v>
      </c>
      <c r="C11" s="133" t="s">
        <v>68</v>
      </c>
      <c r="D11" s="160">
        <f>'[11]Lode 60+20min'!$H$3</f>
        <v>291.83761817880247</v>
      </c>
      <c r="E11" s="160">
        <f>'[11]Lode 60+20min'!$I$3</f>
        <v>97.359341207785732</v>
      </c>
      <c r="F11" s="152">
        <f>'[11]60min + sprinter + 20min'!$Y$17</f>
        <v>7.41</v>
      </c>
      <c r="G11" s="163">
        <f>'[11]60min + sprinter + 20min'!$V$17</f>
        <v>18</v>
      </c>
      <c r="H11" s="160"/>
      <c r="I11" t="s">
        <v>130</v>
      </c>
      <c r="L11" s="32" t="s">
        <v>61</v>
      </c>
      <c r="M11" s="133" t="s">
        <v>70</v>
      </c>
      <c r="N11" s="160">
        <f>'[13]Lode 60+20min'!$H$3</f>
        <v>264.23488255872064</v>
      </c>
      <c r="O11" s="160">
        <f>'[13]Lode 60+20min'!$I$3</f>
        <v>84.65276035131744</v>
      </c>
      <c r="P11" s="152">
        <f>'[13]60min + sprinter + 20min'!$Y$17</f>
        <v>7.84</v>
      </c>
      <c r="Q11" s="163">
        <f>'[13]60min + sprinter + 20min'!$V$17</f>
        <v>20</v>
      </c>
      <c r="R11" s="160"/>
      <c r="U11" s="32" t="s">
        <v>60</v>
      </c>
      <c r="V11" s="133" t="s">
        <v>68</v>
      </c>
      <c r="W11" s="160">
        <f>'[11]Lode 60+20min'!$H$3</f>
        <v>291.83761817880247</v>
      </c>
      <c r="X11" s="50">
        <v>76.099999999999994</v>
      </c>
      <c r="Y11" s="154">
        <f t="shared" si="0"/>
        <v>3.8349227093140934</v>
      </c>
      <c r="AA11" s="32" t="s">
        <v>61</v>
      </c>
      <c r="AB11" s="133" t="s">
        <v>70</v>
      </c>
      <c r="AC11" s="160">
        <f>'[13]Lode 60+20min'!$H$3</f>
        <v>264.23488255872064</v>
      </c>
      <c r="AD11" s="2">
        <v>61</v>
      </c>
      <c r="AE11" s="152">
        <f t="shared" si="1"/>
        <v>4.331719386208535</v>
      </c>
    </row>
    <row r="12" spans="2:31" ht="16" thickBot="1">
      <c r="B12" s="32" t="s">
        <v>60</v>
      </c>
      <c r="C12" s="133" t="s">
        <v>71</v>
      </c>
      <c r="D12" s="160">
        <f>'[14]Lode 60+20min'!$H$3</f>
        <v>322.98811317595846</v>
      </c>
      <c r="E12" s="160">
        <f>'[14]Lode 60+20min'!$I$3</f>
        <v>84.448853172610072</v>
      </c>
      <c r="F12" s="152">
        <f>'[14]60min + sprinter + 20min'!$Y$17</f>
        <v>5.16</v>
      </c>
      <c r="G12" s="163">
        <f>'[14]60min + sprinter + 20min'!$V$17</f>
        <v>19</v>
      </c>
      <c r="H12" s="160"/>
      <c r="L12" s="53" t="s">
        <v>61</v>
      </c>
      <c r="M12" s="133" t="s">
        <v>74</v>
      </c>
      <c r="N12" s="160">
        <f>'[15]Lode 60+20min'!$H$3</f>
        <v>236.20369445831253</v>
      </c>
      <c r="O12" s="160">
        <f>'[15]Lode 60+20min'!$I$3</f>
        <v>93.816774837743381</v>
      </c>
      <c r="P12" s="152">
        <f>'[15]60min + sprinter + 20min'!$Y$17</f>
        <v>3.26</v>
      </c>
      <c r="Q12" s="163">
        <f>'[15]60min + sprinter + 20min'!$V$17</f>
        <v>20</v>
      </c>
      <c r="R12" s="160"/>
      <c r="U12" s="32" t="s">
        <v>60</v>
      </c>
      <c r="V12" s="133" t="s">
        <v>71</v>
      </c>
      <c r="W12" s="160">
        <f>'[14]Lode 60+20min'!$H$3</f>
        <v>322.98811317595846</v>
      </c>
      <c r="X12" s="50">
        <v>78.099999999999994</v>
      </c>
      <c r="Y12" s="154">
        <f t="shared" si="0"/>
        <v>4.1355712314463311</v>
      </c>
      <c r="AA12" s="53" t="s">
        <v>61</v>
      </c>
      <c r="AB12" s="133" t="s">
        <v>74</v>
      </c>
      <c r="AC12" s="160">
        <f>'[15]Lode 60+20min'!$H$3</f>
        <v>236.20369445831253</v>
      </c>
      <c r="AD12" s="28">
        <v>65.599999999999994</v>
      </c>
      <c r="AE12" s="152">
        <f t="shared" si="1"/>
        <v>3.6006660740596423</v>
      </c>
    </row>
    <row r="13" spans="2:31" ht="16" thickBot="1">
      <c r="B13" s="32" t="s">
        <v>60</v>
      </c>
      <c r="C13" s="133" t="s">
        <v>72</v>
      </c>
      <c r="D13" s="160">
        <f>'[16]Lode 60+20min'!$H$3</f>
        <v>286.03661971830985</v>
      </c>
      <c r="E13" s="160">
        <f>'[16]Lode 60+20min'!$I$3</f>
        <v>84.5963545981773</v>
      </c>
      <c r="F13" s="152">
        <f>'[16]60min + sprinter + 20min'!$Y$17</f>
        <v>7.04</v>
      </c>
      <c r="G13" s="163">
        <f>'[16]60min + sprinter + 20min'!$V$17</f>
        <v>20</v>
      </c>
      <c r="H13" s="160"/>
      <c r="M13" s="16" t="s">
        <v>76</v>
      </c>
      <c r="N13" s="179">
        <f t="shared" ref="N13" si="2">AVERAGE(N6:N12)</f>
        <v>296.31261098934505</v>
      </c>
      <c r="O13" s="179">
        <f>AVERAGE(O6:O12)</f>
        <v>92.197745391722123</v>
      </c>
      <c r="P13" s="179">
        <f>AVERAGE(P6:P12)</f>
        <v>4.6657142857142864</v>
      </c>
      <c r="Q13" s="179">
        <f>AVERAGE(Q6:Q12)</f>
        <v>18.142857142857142</v>
      </c>
      <c r="R13" s="179"/>
      <c r="U13" s="32" t="s">
        <v>60</v>
      </c>
      <c r="V13" s="133" t="s">
        <v>72</v>
      </c>
      <c r="W13" s="160">
        <f>'[16]Lode 60+20min'!$H$3</f>
        <v>286.03661971830985</v>
      </c>
      <c r="X13" s="50">
        <v>70.900000000000006</v>
      </c>
      <c r="Y13" s="154">
        <f t="shared" si="0"/>
        <v>4.0343669917956255</v>
      </c>
      <c r="AB13" s="16" t="s">
        <v>76</v>
      </c>
      <c r="AC13" s="179">
        <f>AVERAGE(AC4:AC12)</f>
        <v>296.31261098934505</v>
      </c>
      <c r="AD13" s="179">
        <f t="shared" ref="AD13:AE13" si="3">AVERAGE(AD4:AD12)</f>
        <v>73.614285714285714</v>
      </c>
      <c r="AE13" s="179">
        <f t="shared" si="3"/>
        <v>4.025468824546663</v>
      </c>
    </row>
    <row r="14" spans="2:31" ht="16" thickBot="1">
      <c r="B14" s="53" t="s">
        <v>60</v>
      </c>
      <c r="C14" s="133" t="s">
        <v>73</v>
      </c>
      <c r="D14" s="160">
        <f>'[17]Lode 60+20min'!$H$3</f>
        <v>281.83803050397876</v>
      </c>
      <c r="E14" s="160">
        <f>'[17]Lode 60+20min'!$I$3</f>
        <v>96.249171087533156</v>
      </c>
      <c r="F14" s="152">
        <f>'[17]60min + sprinter + 20min'!$Y$17</f>
        <v>4.74</v>
      </c>
      <c r="G14" s="163">
        <f>'[17]60min + sprinter + 20min'!$V$17</f>
        <v>19</v>
      </c>
      <c r="H14" s="160"/>
      <c r="M14" s="16" t="s">
        <v>13</v>
      </c>
      <c r="N14" s="179">
        <f>STDEVA(N6:N12)</f>
        <v>53.054187902330689</v>
      </c>
      <c r="O14" s="179">
        <f t="shared" ref="O14" si="4">STDEVA(O6:O12)</f>
        <v>8.1641535179240154</v>
      </c>
      <c r="P14" s="179">
        <f>STDEVA(P6:P12)</f>
        <v>3.2846149299568177</v>
      </c>
      <c r="Q14" s="179">
        <f>STDEVA(Q6:Q12)</f>
        <v>2.911389784310999</v>
      </c>
      <c r="R14" s="179"/>
      <c r="U14" s="53" t="s">
        <v>60</v>
      </c>
      <c r="V14" s="133" t="s">
        <v>73</v>
      </c>
      <c r="W14" s="160">
        <f>'[17]Lode 60+20min'!$H$3</f>
        <v>281.83803050397876</v>
      </c>
      <c r="X14" s="58">
        <v>71.3</v>
      </c>
      <c r="Y14" s="154">
        <f t="shared" si="0"/>
        <v>3.9528475526504736</v>
      </c>
      <c r="AB14" s="16" t="s">
        <v>13</v>
      </c>
      <c r="AC14" s="179">
        <f>STDEVA(AC4:AC12)</f>
        <v>138.50454355529754</v>
      </c>
      <c r="AD14" s="179">
        <f t="shared" ref="AD14:AE14" si="5">STDEVA(AD4:AD12)</f>
        <v>33.381174002389102</v>
      </c>
      <c r="AE14" s="179">
        <f t="shared" si="5"/>
        <v>1.5037944280944373</v>
      </c>
    </row>
    <row r="15" spans="2:31">
      <c r="C15" s="16" t="s">
        <v>76</v>
      </c>
      <c r="D15" s="179">
        <f>AVERAGE(D6:D14)</f>
        <v>302.52883112257302</v>
      </c>
      <c r="E15" s="179">
        <f t="shared" ref="E15" si="6">AVERAGE(E6:E14)</f>
        <v>86.58153247014944</v>
      </c>
      <c r="F15" s="179">
        <f>AVERAGE(F6:F9,F11:F14)</f>
        <v>7.3687500000000004</v>
      </c>
      <c r="G15" s="179">
        <f>AVERAGE(G6:G9,G11:G14)</f>
        <v>18.875</v>
      </c>
      <c r="H15" s="179"/>
      <c r="I15" s="176"/>
      <c r="M15" s="16" t="s">
        <v>14</v>
      </c>
      <c r="N15" s="179">
        <f>N14/SQRT(COUNT(N6:N12))</f>
        <v>20.052598171436937</v>
      </c>
      <c r="O15" s="179">
        <f t="shared" ref="O15" si="7">O14/SQRT(COUNT(O6:O12))</f>
        <v>3.0857599819685788</v>
      </c>
      <c r="P15" s="179">
        <f>P14/SQRT(COUNT(P6:P12))</f>
        <v>1.2414677510393684</v>
      </c>
      <c r="Q15" s="179">
        <f>Q14/SQRT(COUNT(Q6:Q12))</f>
        <v>1.1004019055515544</v>
      </c>
      <c r="R15" s="179"/>
      <c r="V15" s="16" t="s">
        <v>76</v>
      </c>
      <c r="W15" s="179">
        <f>AVERAGE(W6:W14)</f>
        <v>302.52883112257302</v>
      </c>
      <c r="X15" s="179">
        <f t="shared" ref="X15" si="8">AVERAGE(X6:X14)</f>
        <v>73.133333333333326</v>
      </c>
      <c r="Y15" s="179">
        <f>AVERAGE(Y6:Y9,Y11:Y14)</f>
        <v>4.1436008249485736</v>
      </c>
      <c r="AB15" s="16" t="s">
        <v>14</v>
      </c>
      <c r="AC15" s="179">
        <f>AC14/SQRT(COUNT(AC4:AC12))</f>
        <v>52.349796814261595</v>
      </c>
      <c r="AD15" s="179">
        <f t="shared" ref="AD15:AE15" si="9">AD14/SQRT(COUNT(AD4:AD12))</f>
        <v>12.616897840242313</v>
      </c>
      <c r="AE15" s="179">
        <f t="shared" si="9"/>
        <v>0.56838086852892622</v>
      </c>
    </row>
    <row r="16" spans="2:31">
      <c r="C16" s="16" t="s">
        <v>13</v>
      </c>
      <c r="D16" s="179">
        <f>STDEVA(D6:D14)</f>
        <v>42.555993040750728</v>
      </c>
      <c r="E16" s="179">
        <f t="shared" ref="E16" si="10">STDEVA(E6:E14)</f>
        <v>7.6238204312816631</v>
      </c>
      <c r="F16" s="179">
        <f>STDEVA(F6:F9,F11:F14)</f>
        <v>2.1293354932600774</v>
      </c>
      <c r="G16" s="179">
        <f>STDEVA(G6:G9,G11:G14)</f>
        <v>0.64086994446165568</v>
      </c>
      <c r="H16" s="179"/>
      <c r="M16" s="16" t="s">
        <v>99</v>
      </c>
      <c r="V16" s="16" t="s">
        <v>13</v>
      </c>
      <c r="W16" s="179">
        <f>STDEVA(W6:W14)</f>
        <v>42.555993040750728</v>
      </c>
      <c r="X16" s="179">
        <f t="shared" ref="X16" si="11">STDEVA(X6:X14)</f>
        <v>4.8308901871187233</v>
      </c>
      <c r="Y16" s="179">
        <f>STDEVA(Y6:Y9,Y11:Y14)</f>
        <v>0.46283653531908536</v>
      </c>
    </row>
    <row r="17" spans="2:31">
      <c r="C17" s="16" t="s">
        <v>14</v>
      </c>
      <c r="D17" s="179">
        <f>D16/SQRT(COUNT(D6:D14))</f>
        <v>14.185331013583577</v>
      </c>
      <c r="E17" s="179">
        <f t="shared" ref="E17" si="12">E16/SQRT(COUNT(E6:E14))</f>
        <v>2.5412734770938878</v>
      </c>
      <c r="F17" s="179">
        <f>F16/SQRT(COUNT(F6:F14))</f>
        <v>0.75283378335270135</v>
      </c>
      <c r="G17" s="179">
        <f>G16/SQRT(COUNT(G6:G14))</f>
        <v>0.22658174179374141</v>
      </c>
      <c r="H17" s="179"/>
      <c r="V17" s="16" t="s">
        <v>14</v>
      </c>
      <c r="W17" s="179">
        <f>W16/SQRT(COUNT(W6:W14))</f>
        <v>14.185331013583577</v>
      </c>
      <c r="X17" s="179">
        <f t="shared" ref="X17" si="13">X16/SQRT(COUNT(X6:X14))</f>
        <v>1.6102967290395744</v>
      </c>
      <c r="Y17" s="179">
        <f>Y16/SQRT(COUNT(Y6:Y14))</f>
        <v>0.15427884510636178</v>
      </c>
    </row>
    <row r="19" spans="2:31">
      <c r="B19" t="s">
        <v>132</v>
      </c>
    </row>
    <row r="20" spans="2:31" ht="16" thickBot="1"/>
    <row r="21" spans="2:31" ht="16" thickBot="1">
      <c r="B21" s="1331" t="s">
        <v>50</v>
      </c>
      <c r="C21" s="1332"/>
      <c r="L21" s="1331" t="s">
        <v>50</v>
      </c>
      <c r="M21" s="1332"/>
      <c r="U21" s="1331" t="s">
        <v>50</v>
      </c>
      <c r="V21" s="1332"/>
      <c r="AA21" s="1331" t="s">
        <v>50</v>
      </c>
      <c r="AB21" s="1332"/>
    </row>
    <row r="22" spans="2:31">
      <c r="B22" s="1344" t="s">
        <v>77</v>
      </c>
      <c r="C22" s="1391"/>
      <c r="D22" s="149" t="s">
        <v>124</v>
      </c>
      <c r="E22" s="1329" t="s">
        <v>126</v>
      </c>
      <c r="F22" s="175" t="s">
        <v>127</v>
      </c>
      <c r="G22" s="1329" t="s">
        <v>40</v>
      </c>
      <c r="H22" s="1329" t="s">
        <v>128</v>
      </c>
      <c r="L22" s="1344" t="s">
        <v>77</v>
      </c>
      <c r="M22" s="1391"/>
      <c r="N22" s="149" t="s">
        <v>124</v>
      </c>
      <c r="O22" s="1329" t="s">
        <v>126</v>
      </c>
      <c r="P22" s="175" t="s">
        <v>127</v>
      </c>
      <c r="Q22" s="1329" t="s">
        <v>40</v>
      </c>
      <c r="R22" s="1329" t="s">
        <v>128</v>
      </c>
      <c r="U22" s="1344" t="s">
        <v>77</v>
      </c>
      <c r="V22" s="1391"/>
      <c r="W22" s="149" t="s">
        <v>124</v>
      </c>
      <c r="X22" s="515" t="s">
        <v>31</v>
      </c>
      <c r="Y22" s="149"/>
      <c r="AA22" s="1344" t="s">
        <v>77</v>
      </c>
      <c r="AB22" s="1391"/>
      <c r="AC22" s="149" t="s">
        <v>124</v>
      </c>
      <c r="AD22" s="537" t="s">
        <v>31</v>
      </c>
      <c r="AE22" s="522"/>
    </row>
    <row r="23" spans="2:31" ht="16" thickBot="1">
      <c r="B23" s="1336"/>
      <c r="C23" s="1392"/>
      <c r="D23" s="177" t="s">
        <v>20</v>
      </c>
      <c r="E23" s="1416"/>
      <c r="F23" s="178" t="s">
        <v>129</v>
      </c>
      <c r="G23" s="1416"/>
      <c r="H23" s="1416"/>
      <c r="L23" s="1336"/>
      <c r="M23" s="1392"/>
      <c r="N23" s="177" t="s">
        <v>20</v>
      </c>
      <c r="O23" s="1416"/>
      <c r="P23" s="178" t="s">
        <v>129</v>
      </c>
      <c r="Q23" s="1416"/>
      <c r="R23" s="1416"/>
      <c r="U23" s="1336"/>
      <c r="V23" s="1392"/>
      <c r="W23" s="177" t="s">
        <v>20</v>
      </c>
      <c r="X23" s="525" t="s">
        <v>2</v>
      </c>
      <c r="Y23" s="215" t="s">
        <v>21</v>
      </c>
      <c r="AA23" s="1336"/>
      <c r="AB23" s="1392"/>
      <c r="AC23" s="177" t="s">
        <v>20</v>
      </c>
      <c r="AD23" s="538" t="s">
        <v>2</v>
      </c>
      <c r="AE23" s="178" t="s">
        <v>21</v>
      </c>
    </row>
    <row r="24" spans="2:31" ht="16" thickBot="1">
      <c r="B24" s="32" t="s">
        <v>60</v>
      </c>
      <c r="C24" s="133" t="s">
        <v>57</v>
      </c>
      <c r="D24" s="160">
        <f>'[18]Lode 60+20min'!$H$3</f>
        <v>372.22984876184142</v>
      </c>
      <c r="E24" s="160">
        <f>'[18]Lode 60+20min'!$I$3</f>
        <v>86.741066976898793</v>
      </c>
      <c r="F24" s="152">
        <f>'[18]60min + sprinter + 20min'!$Y$17</f>
        <v>8.7200000000000006</v>
      </c>
      <c r="G24" s="163">
        <f>'[18]60min + sprinter + 20min'!$V$17</f>
        <v>19</v>
      </c>
      <c r="H24" s="160"/>
      <c r="L24" s="89" t="s">
        <v>61</v>
      </c>
      <c r="M24" s="133" t="s">
        <v>58</v>
      </c>
      <c r="N24" s="160">
        <f>'[19]Lode 60+20min'!$H$3</f>
        <v>291.2266998341625</v>
      </c>
      <c r="O24" s="160">
        <f>'[19]Lode 60+20min'!$I$3</f>
        <v>100.86334991708127</v>
      </c>
      <c r="P24" s="152">
        <f>'[19]60min + sprinter + 20min'!$Y$17</f>
        <v>10.52</v>
      </c>
      <c r="Q24" s="163">
        <f>'[19]60min + sprinter + 20min'!$V$17</f>
        <v>20</v>
      </c>
      <c r="R24" s="160"/>
      <c r="U24" s="32" t="s">
        <v>60</v>
      </c>
      <c r="V24" s="133" t="s">
        <v>57</v>
      </c>
      <c r="W24" s="160">
        <f>'[1]Lode 60+20min'!$H$3</f>
        <v>378.96293834136611</v>
      </c>
      <c r="X24" s="2">
        <v>80.5</v>
      </c>
      <c r="Y24" s="154">
        <f>W24/X24</f>
        <v>4.7076141408865357</v>
      </c>
      <c r="AA24" s="89" t="s">
        <v>61</v>
      </c>
      <c r="AB24" s="133" t="s">
        <v>58</v>
      </c>
      <c r="AC24" s="160">
        <f>'[2]Lode 60+20min'!$H$3</f>
        <v>295.62398272712176</v>
      </c>
      <c r="AD24" s="20">
        <v>74.8</v>
      </c>
      <c r="AE24" s="152">
        <f>AC24/AD24</f>
        <v>3.9521922824481521</v>
      </c>
    </row>
    <row r="25" spans="2:31" ht="16" thickBot="1">
      <c r="B25" s="32" t="s">
        <v>60</v>
      </c>
      <c r="C25" s="134" t="s">
        <v>59</v>
      </c>
      <c r="D25" s="160">
        <f>'[20]Lode 60+20min'!$H$3</f>
        <v>314.33838215712382</v>
      </c>
      <c r="E25" s="160">
        <f>'[20]Lode 60+20min'!$I$3</f>
        <v>77.070073235685754</v>
      </c>
      <c r="F25" s="152">
        <f>'[20]60min + sprinter + 20min'!$Y$17</f>
        <v>5.65</v>
      </c>
      <c r="G25" s="163">
        <f>'[20]60min + sprinter + 20min'!$V$17</f>
        <v>20</v>
      </c>
      <c r="H25" s="160"/>
      <c r="L25" s="32" t="s">
        <v>61</v>
      </c>
      <c r="M25" s="133" t="s">
        <v>63</v>
      </c>
      <c r="N25" s="160">
        <f>'[21]Lode 60+20min'!$H$3</f>
        <v>272.93814432989689</v>
      </c>
      <c r="O25" s="160">
        <f>'[21]Lode 60+20min'!$I$3</f>
        <v>91.163119388094444</v>
      </c>
      <c r="P25" s="152">
        <f>'[21]60min + sprinter + 20min'!$Y$17</f>
        <v>5.85</v>
      </c>
      <c r="Q25" s="163">
        <f>'[21]60min + sprinter + 20min'!$V$17</f>
        <v>17</v>
      </c>
      <c r="R25" s="160"/>
      <c r="U25" s="32" t="s">
        <v>60</v>
      </c>
      <c r="V25" s="134" t="s">
        <v>59</v>
      </c>
      <c r="W25" s="160">
        <f>'[3]Lode 60+20min'!$H$3</f>
        <v>355.03807781842369</v>
      </c>
      <c r="X25" s="2">
        <v>71.599999999999994</v>
      </c>
      <c r="Y25" s="154">
        <f t="shared" ref="Y25:Y32" si="14">W25/X25</f>
        <v>4.9586323717656944</v>
      </c>
      <c r="AA25" s="32" t="s">
        <v>61</v>
      </c>
      <c r="AB25" s="133" t="s">
        <v>63</v>
      </c>
      <c r="AC25" s="160">
        <f>'[4]Lode 60+20min'!$H$3</f>
        <v>236.23523556735236</v>
      </c>
      <c r="AD25" s="2">
        <v>74.2</v>
      </c>
      <c r="AE25" s="152">
        <f t="shared" ref="AE25:AE29" si="15">AC25/AD25</f>
        <v>3.1837632825788726</v>
      </c>
    </row>
    <row r="26" spans="2:31" ht="16" thickBot="1">
      <c r="B26" s="32" t="s">
        <v>60</v>
      </c>
      <c r="C26" s="133" t="s">
        <v>62</v>
      </c>
      <c r="D26" s="160">
        <f>'[22]Lode 60+20min 20.10.18'!$H$3</f>
        <v>248.22104038557421</v>
      </c>
      <c r="E26" s="160">
        <f>'[22]Lode 60+20min 20.10.18'!$I$3</f>
        <v>71.503573209240486</v>
      </c>
      <c r="F26" s="152">
        <f>'[22]60min + sprinter + 20min 20.10.'!$Y$17</f>
        <v>6.12</v>
      </c>
      <c r="G26" s="163">
        <f>'[22]60min + sprinter + 20min 20.10.'!$V$17</f>
        <v>20</v>
      </c>
      <c r="H26" s="160"/>
      <c r="I26" t="s">
        <v>112</v>
      </c>
      <c r="L26" s="32" t="s">
        <v>61</v>
      </c>
      <c r="M26" s="133" t="s">
        <v>65</v>
      </c>
      <c r="N26" s="160">
        <f>'[23]Lode 60+20min'!$H$3</f>
        <v>353.99715147453082</v>
      </c>
      <c r="O26" s="160">
        <f>'[23]Lode 60+20min'!$I$3</f>
        <v>101.92392761394102</v>
      </c>
      <c r="P26" s="152">
        <f>'[23]60min + sprinter + 20min'!$Y$17</f>
        <v>3.54</v>
      </c>
      <c r="Q26" s="163">
        <f>'[23]60min + sprinter + 20min'!$V$17</f>
        <v>20</v>
      </c>
      <c r="R26" s="160"/>
      <c r="U26" s="32" t="s">
        <v>60</v>
      </c>
      <c r="V26" s="133" t="s">
        <v>62</v>
      </c>
      <c r="W26" s="160">
        <f>'[5]Lode 60+20min'!$H$3</f>
        <v>258.71799567171632</v>
      </c>
      <c r="X26" s="2">
        <v>74.3</v>
      </c>
      <c r="Y26" s="154">
        <f t="shared" si="14"/>
        <v>3.4820726200769356</v>
      </c>
      <c r="AA26" s="32" t="s">
        <v>61</v>
      </c>
      <c r="AB26" s="133" t="s">
        <v>65</v>
      </c>
      <c r="AC26" s="160">
        <f>'[6]Lode 60+20min'!$H$3</f>
        <v>370.91231311943557</v>
      </c>
      <c r="AD26" s="2">
        <v>85.9</v>
      </c>
      <c r="AE26" s="152">
        <f t="shared" si="15"/>
        <v>4.3179547510993661</v>
      </c>
    </row>
    <row r="27" spans="2:31" ht="16" thickBot="1">
      <c r="B27" s="32" t="s">
        <v>60</v>
      </c>
      <c r="C27" s="133" t="s">
        <v>64</v>
      </c>
      <c r="D27" s="160">
        <f>'[24]Lode 60+20min'!$H$3</f>
        <v>233.19361277445111</v>
      </c>
      <c r="E27" s="160">
        <f>'[24]Lode 60+20min'!$I$3</f>
        <v>74.799900199600799</v>
      </c>
      <c r="F27" s="152">
        <f>'[24]60min + sprinter + 20min'!$Y$17</f>
        <v>6.28</v>
      </c>
      <c r="G27" s="163">
        <f>'[24]60min + sprinter + 20min'!$V$17</f>
        <v>17</v>
      </c>
      <c r="H27" s="160"/>
      <c r="L27" s="33" t="s">
        <v>61</v>
      </c>
      <c r="M27" s="133" t="s">
        <v>66</v>
      </c>
      <c r="N27" s="160">
        <f>'[25]Lode 60+20min'!$H$3</f>
        <v>301.42446043165467</v>
      </c>
      <c r="O27" s="160">
        <f>'[25]Lode 60+20min'!$I$3</f>
        <v>92.729652626279574</v>
      </c>
      <c r="P27" s="182"/>
      <c r="Q27" s="163">
        <f>'[25]60min + sprinter + 20min'!$V$17</f>
        <v>19</v>
      </c>
      <c r="R27" s="160"/>
      <c r="U27" s="32" t="s">
        <v>60</v>
      </c>
      <c r="V27" s="133" t="s">
        <v>64</v>
      </c>
      <c r="W27" s="160">
        <f>'[7]Lode 60+20min'!$H$3</f>
        <v>250.53271934076588</v>
      </c>
      <c r="X27" s="2">
        <v>64.2</v>
      </c>
      <c r="Y27" s="154">
        <f t="shared" si="14"/>
        <v>3.9023788059309323</v>
      </c>
      <c r="AA27" s="33" t="s">
        <v>61</v>
      </c>
      <c r="AB27" s="133" t="s">
        <v>66</v>
      </c>
      <c r="AC27" s="160">
        <f>'[8]Lode 60+20min'!$H$3</f>
        <v>334.50275321208073</v>
      </c>
      <c r="AD27" s="2">
        <v>86.4</v>
      </c>
      <c r="AE27" s="152">
        <f t="shared" si="15"/>
        <v>3.8715596436583417</v>
      </c>
    </row>
    <row r="28" spans="2:31" ht="16" thickBot="1">
      <c r="B28" s="33" t="s">
        <v>60</v>
      </c>
      <c r="C28" s="133" t="s">
        <v>67</v>
      </c>
      <c r="D28" s="160">
        <f>'[26]Lode 60+20min'!$H$3</f>
        <v>300</v>
      </c>
      <c r="E28" s="160">
        <f>'[26]Lode 60+20min'!$I$3</f>
        <v>84.050269905533057</v>
      </c>
      <c r="F28" s="180">
        <f>'[26]60min + sprinter + 20min'!$Y$17</f>
        <v>5.46</v>
      </c>
      <c r="G28" s="163">
        <f>'[26]60min + sprinter + 20min'!$V$17</f>
        <v>20</v>
      </c>
      <c r="H28" s="160"/>
      <c r="I28" t="s">
        <v>118</v>
      </c>
      <c r="L28" s="32" t="s">
        <v>61</v>
      </c>
      <c r="M28" s="133" t="s">
        <v>69</v>
      </c>
      <c r="N28" s="160">
        <f>'[27]Lode 60+20min'!$H$3</f>
        <v>319.37263052876619</v>
      </c>
      <c r="O28" s="160">
        <f>'[27]Lode 60+20min'!$I$3</f>
        <v>79.965912869970069</v>
      </c>
      <c r="P28" s="183">
        <f>'[27]60min + sprinter + 20min'!$Y$17</f>
        <v>1.96</v>
      </c>
      <c r="Q28" s="184">
        <f>'[27]60min + sprinter + 20min'!$V$17</f>
        <v>17</v>
      </c>
      <c r="R28" s="160"/>
      <c r="U28" s="33" t="s">
        <v>60</v>
      </c>
      <c r="V28" s="133" t="s">
        <v>67</v>
      </c>
      <c r="W28" s="160">
        <f>'[9]Lode 60+20min'!$H$3</f>
        <v>296.80736735383573</v>
      </c>
      <c r="X28" s="2">
        <v>74.099999999999994</v>
      </c>
      <c r="Y28" s="154">
        <f t="shared" si="14"/>
        <v>4.0054975351394839</v>
      </c>
      <c r="AA28" s="32" t="s">
        <v>61</v>
      </c>
      <c r="AB28" s="133" t="s">
        <v>69</v>
      </c>
      <c r="AC28" s="160">
        <f>'[10]Lode 60+20min'!$H$3</f>
        <v>336.47541528239202</v>
      </c>
      <c r="AD28" s="2">
        <v>70.5</v>
      </c>
      <c r="AE28" s="152">
        <f t="shared" si="15"/>
        <v>4.7727009259913764</v>
      </c>
    </row>
    <row r="29" spans="2:31" ht="16" thickBot="1">
      <c r="B29" s="32" t="s">
        <v>60</v>
      </c>
      <c r="C29" s="133" t="s">
        <v>68</v>
      </c>
      <c r="D29" s="160">
        <f>'[28]Lode 60+20min'!$H$3</f>
        <v>294.03388981636061</v>
      </c>
      <c r="E29" s="160">
        <f>'[28]Lode 60+20min'!$I$3</f>
        <v>92.708848080133549</v>
      </c>
      <c r="F29" s="152">
        <f>'[28]60min + sprinter + 20min'!$Y$17</f>
        <v>5.45</v>
      </c>
      <c r="G29" s="163">
        <f>'[28]60min + sprinter + 20min'!$V$17</f>
        <v>20</v>
      </c>
      <c r="H29" s="160"/>
      <c r="L29" s="32" t="s">
        <v>61</v>
      </c>
      <c r="M29" s="133" t="s">
        <v>70</v>
      </c>
      <c r="N29" s="160">
        <f>'[29]Lode 60+20min'!$H$3</f>
        <v>262.33289014459035</v>
      </c>
      <c r="O29" s="160">
        <f>'[29]Lode 60+20min'!$I$3</f>
        <v>92.272228685391397</v>
      </c>
      <c r="P29" s="152">
        <f>'[29]60min + sprinter + 20min'!$Y$17</f>
        <v>7.66</v>
      </c>
      <c r="Q29" s="163">
        <f>'[29]60min + sprinter + 20min'!$V$17</f>
        <v>18</v>
      </c>
      <c r="R29" s="160"/>
      <c r="U29" s="32" t="s">
        <v>60</v>
      </c>
      <c r="V29" s="133" t="s">
        <v>68</v>
      </c>
      <c r="W29" s="160">
        <f>'[11]Lode 60+20min'!$H$3</f>
        <v>291.83761817880247</v>
      </c>
      <c r="X29" s="2">
        <v>76.599999999999994</v>
      </c>
      <c r="Y29" s="154">
        <f t="shared" si="14"/>
        <v>3.8098905767467688</v>
      </c>
      <c r="AA29" s="32" t="s">
        <v>61</v>
      </c>
      <c r="AB29" s="133" t="s">
        <v>70</v>
      </c>
      <c r="AC29" s="160">
        <f>'[13]Lode 60+20min'!$H$3</f>
        <v>264.23488255872064</v>
      </c>
      <c r="AD29" s="2">
        <v>61.9</v>
      </c>
      <c r="AE29" s="152">
        <f t="shared" si="15"/>
        <v>4.2687380057951643</v>
      </c>
    </row>
    <row r="30" spans="2:31" ht="16" thickBot="1">
      <c r="B30" s="32" t="s">
        <v>60</v>
      </c>
      <c r="C30" s="133" t="s">
        <v>71</v>
      </c>
      <c r="D30" s="160">
        <f>'[30]Lode 60+20min'!$H$3</f>
        <v>310.66136250621582</v>
      </c>
      <c r="E30" s="160">
        <f>'[30]Lode 60+20min'!$I$3</f>
        <v>80.579148019227588</v>
      </c>
      <c r="F30" s="152">
        <f>'[30]60min + sprinter + 20min'!$Y$17</f>
        <v>4.45</v>
      </c>
      <c r="G30" s="163">
        <f>'[30]60min + sprinter + 20min'!$V$17</f>
        <v>19</v>
      </c>
      <c r="H30" s="160"/>
      <c r="L30" s="53" t="s">
        <v>61</v>
      </c>
      <c r="M30" s="133" t="s">
        <v>74</v>
      </c>
      <c r="N30" s="160">
        <f>'[31]Lode 60+20min'!$H$3</f>
        <v>237.80236430236431</v>
      </c>
      <c r="O30" s="160">
        <f>'[31]Lode 60+20min'!$I$3</f>
        <v>98.73792873792874</v>
      </c>
      <c r="P30" s="152">
        <f>'[31]60min + sprinter + 20min'!$Y$17</f>
        <v>4.9400000000000004</v>
      </c>
      <c r="Q30" s="163">
        <f>'[31]60min + sprinter + 20min'!$V$17</f>
        <v>16</v>
      </c>
      <c r="R30" s="160"/>
      <c r="U30" s="32" t="s">
        <v>60</v>
      </c>
      <c r="V30" s="133" t="s">
        <v>71</v>
      </c>
      <c r="W30" s="160">
        <f>'[14]Lode 60+20min'!$H$3</f>
        <v>322.98811317595846</v>
      </c>
      <c r="X30" s="2">
        <v>79</v>
      </c>
      <c r="Y30" s="154">
        <f t="shared" si="14"/>
        <v>4.0884571288096003</v>
      </c>
      <c r="AA30" s="53" t="s">
        <v>61</v>
      </c>
      <c r="AB30" s="133" t="s">
        <v>74</v>
      </c>
      <c r="AC30" s="160">
        <f>'[15]Lode 60+20min'!$H$3</f>
        <v>236.20369445831253</v>
      </c>
      <c r="AD30" s="28">
        <v>65.5</v>
      </c>
      <c r="AE30" s="152">
        <f>AC30/AD30</f>
        <v>3.6061632741727103</v>
      </c>
    </row>
    <row r="31" spans="2:31" ht="16" thickBot="1">
      <c r="B31" s="32" t="s">
        <v>60</v>
      </c>
      <c r="C31" s="133" t="s">
        <v>72</v>
      </c>
      <c r="D31" s="160">
        <f>'[32]Lode 60+20min'!$H$3</f>
        <v>280.247258225324</v>
      </c>
      <c r="E31" s="160">
        <f>'[32]Lode 60+20min'!$I$3</f>
        <v>81.695746095048193</v>
      </c>
      <c r="F31" s="152">
        <f>'[32]60min + sprinter + 20min'!$Y$17</f>
        <v>4.76</v>
      </c>
      <c r="G31" s="163">
        <f>'[32]60min + sprinter + 20min'!$V$17</f>
        <v>19</v>
      </c>
      <c r="H31" s="160"/>
      <c r="M31" s="16" t="s">
        <v>76</v>
      </c>
      <c r="N31" s="179">
        <f t="shared" ref="N31:O31" si="16">AVERAGE(N24:N30)</f>
        <v>291.29919157799515</v>
      </c>
      <c r="O31" s="179">
        <f t="shared" si="16"/>
        <v>93.950874262669501</v>
      </c>
      <c r="P31" s="277">
        <f>AVERAGE(P24:P30)</f>
        <v>5.7450000000000001</v>
      </c>
      <c r="Q31" s="179">
        <f>AVERAGE(Q24:Q30)</f>
        <v>18.142857142857142</v>
      </c>
      <c r="R31" s="179"/>
      <c r="U31" s="32" t="s">
        <v>60</v>
      </c>
      <c r="V31" s="133" t="s">
        <v>72</v>
      </c>
      <c r="W31" s="160">
        <f>'[16]Lode 60+20min'!$H$3</f>
        <v>286.03661971830985</v>
      </c>
      <c r="X31" s="2">
        <v>72</v>
      </c>
      <c r="Y31" s="154">
        <f t="shared" si="14"/>
        <v>3.97273082942097</v>
      </c>
      <c r="AB31" s="16" t="s">
        <v>76</v>
      </c>
      <c r="AC31" s="179">
        <f>AVERAGE(AC22:AC30)</f>
        <v>296.31261098934505</v>
      </c>
      <c r="AD31" s="179">
        <f t="shared" ref="AD31:AE31" si="17">AVERAGE(AD22:AD30)</f>
        <v>74.171428571428578</v>
      </c>
      <c r="AE31" s="179">
        <f t="shared" si="17"/>
        <v>3.9961531665348553</v>
      </c>
    </row>
    <row r="32" spans="2:31" ht="16" thickBot="1">
      <c r="B32" s="53" t="s">
        <v>60</v>
      </c>
      <c r="C32" s="133" t="s">
        <v>73</v>
      </c>
      <c r="D32" s="160">
        <f>'[33]Lode 60+20min'!$H$3</f>
        <v>292.13851014299968</v>
      </c>
      <c r="E32" s="160">
        <f>'[33]Lode 60+20min'!$I$3</f>
        <v>92.964748919188565</v>
      </c>
      <c r="F32" s="152">
        <f>'[33]60min + sprinter + 20min'!$Y$17</f>
        <v>9.01</v>
      </c>
      <c r="G32" s="163">
        <f>'[33]60min + sprinter + 20min'!$V$17</f>
        <v>20</v>
      </c>
      <c r="H32" s="160"/>
      <c r="M32" s="16" t="s">
        <v>13</v>
      </c>
      <c r="N32" s="179">
        <f t="shared" ref="N32:O32" si="18">STDEVA(N24:N30)</f>
        <v>38.426908275014775</v>
      </c>
      <c r="O32" s="179">
        <f t="shared" si="18"/>
        <v>7.5490368659349487</v>
      </c>
      <c r="P32" s="179">
        <f>STDEVA(P24:P30)</f>
        <v>3.0435226301113665</v>
      </c>
      <c r="Q32" s="179">
        <f>STDEVA(Q24:Q30)</f>
        <v>1.5735915849388864</v>
      </c>
      <c r="R32" s="179"/>
      <c r="U32" s="53" t="s">
        <v>60</v>
      </c>
      <c r="V32" s="133" t="s">
        <v>73</v>
      </c>
      <c r="W32" s="160">
        <f>'[17]Lode 60+20min'!$H$3</f>
        <v>281.83803050397876</v>
      </c>
      <c r="X32" s="517">
        <v>70.8</v>
      </c>
      <c r="Y32" s="154">
        <f t="shared" si="14"/>
        <v>3.9807631427115644</v>
      </c>
      <c r="AB32" s="16" t="s">
        <v>13</v>
      </c>
      <c r="AC32" s="179">
        <f>STDEVA(AC22:AC30)</f>
        <v>138.50454355529754</v>
      </c>
      <c r="AD32" s="179">
        <f t="shared" ref="AD32:AE32" si="19">STDEVA(AD22:AD30)</f>
        <v>33.698087647685746</v>
      </c>
      <c r="AE32" s="179">
        <f t="shared" si="19"/>
        <v>1.4920501636634351</v>
      </c>
    </row>
    <row r="33" spans="1:31">
      <c r="C33" s="16" t="s">
        <v>76</v>
      </c>
      <c r="D33" s="179">
        <f>AVERAGE(D24:D32)</f>
        <v>293.89598941887675</v>
      </c>
      <c r="E33" s="179">
        <f t="shared" ref="E33:F33" si="20">AVERAGE(E24:E32)</f>
        <v>82.45704162672854</v>
      </c>
      <c r="F33" s="179">
        <f t="shared" si="20"/>
        <v>6.2111111111111121</v>
      </c>
      <c r="G33" s="179">
        <f>AVERAGE(G24:G32)</f>
        <v>19.333333333333332</v>
      </c>
      <c r="H33" s="179"/>
      <c r="M33" s="16" t="s">
        <v>14</v>
      </c>
      <c r="N33" s="179">
        <f t="shared" ref="N33:P33" si="21">N32/SQRT(COUNT(N24:N30))</f>
        <v>14.524006135539871</v>
      </c>
      <c r="O33" s="179">
        <f t="shared" si="21"/>
        <v>2.8532677407603311</v>
      </c>
      <c r="P33" s="179">
        <f t="shared" si="21"/>
        <v>1.2425129107310455</v>
      </c>
      <c r="Q33" s="179">
        <f>Q32/SQRT(COUNT(Q24:Q30))</f>
        <v>0.5947617141331808</v>
      </c>
      <c r="R33" s="179"/>
      <c r="V33" s="16" t="s">
        <v>76</v>
      </c>
      <c r="W33" s="179">
        <f>AVERAGE(W24:W32)</f>
        <v>302.52883112257302</v>
      </c>
      <c r="X33" s="179">
        <f t="shared" ref="X33" si="22">AVERAGE(X24:X32)</f>
        <v>73.677777777777763</v>
      </c>
      <c r="Y33" s="179">
        <f>AVERAGE(Y24:Y27,Y29:Y32)</f>
        <v>4.1128174520436254</v>
      </c>
      <c r="AB33" s="16" t="s">
        <v>14</v>
      </c>
      <c r="AC33" s="179">
        <f>AC32/SQRT(COUNT(AC22:AC30))</f>
        <v>52.349796814261595</v>
      </c>
      <c r="AD33" s="179">
        <f t="shared" ref="AD33:AE33" si="23">AD32/SQRT(COUNT(AD22:AD30))</f>
        <v>12.736679939176293</v>
      </c>
      <c r="AE33" s="179">
        <f t="shared" si="23"/>
        <v>0.56394195381238144</v>
      </c>
    </row>
    <row r="34" spans="1:31">
      <c r="C34" s="16" t="s">
        <v>13</v>
      </c>
      <c r="D34" s="179">
        <f>STDEVA(D24:D32)</f>
        <v>40.051212111737925</v>
      </c>
      <c r="E34" s="179">
        <f t="shared" ref="E34" si="24">STDEVA(E24:E32)</f>
        <v>7.4844711452535639</v>
      </c>
      <c r="F34" s="179">
        <f>STDEVA(F24:F32)</f>
        <v>1.6127185467746981</v>
      </c>
      <c r="G34" s="179">
        <f>STDEVA(G24:G32)</f>
        <v>1</v>
      </c>
      <c r="H34" s="179"/>
      <c r="M34" s="16" t="s">
        <v>99</v>
      </c>
      <c r="N34" s="821">
        <f>(N31-N13)/N14</f>
        <v>-9.4496204909955084E-2</v>
      </c>
      <c r="O34" s="124">
        <f t="shared" ref="O34" si="25">(O31-O13)/O14</f>
        <v>0.21473492225476484</v>
      </c>
      <c r="P34" s="821">
        <f>(P31-P13)/P14</f>
        <v>0.32858820205749445</v>
      </c>
      <c r="Q34" s="821">
        <f>(Q31-Q13)/Q14</f>
        <v>0</v>
      </c>
      <c r="V34" s="16" t="s">
        <v>13</v>
      </c>
      <c r="W34" s="179">
        <f>STDEVA(W24:W32)</f>
        <v>42.555993040750728</v>
      </c>
      <c r="X34" s="179">
        <f t="shared" ref="X34" si="26">STDEVA(X24:X32)</f>
        <v>4.863326479318907</v>
      </c>
      <c r="Y34" s="179">
        <f>STDEVA(Y24:Y27,Y29:Y32)</f>
        <v>0.48413843443637394</v>
      </c>
    </row>
    <row r="35" spans="1:31">
      <c r="C35" s="16" t="s">
        <v>14</v>
      </c>
      <c r="D35" s="179">
        <f>D34/SQRT(COUNT(D24:D32))</f>
        <v>13.350404037245974</v>
      </c>
      <c r="E35" s="179">
        <f t="shared" ref="E35:G35" si="27">E34/SQRT(COUNT(E24:E32))</f>
        <v>2.4948237150845212</v>
      </c>
      <c r="F35" s="179">
        <f>F34/SQRT(COUNT(F24:F32))</f>
        <v>0.53757284892489932</v>
      </c>
      <c r="G35" s="179">
        <f t="shared" si="27"/>
        <v>0.33333333333333331</v>
      </c>
      <c r="H35" s="179"/>
      <c r="P35" s="176">
        <f>_xlfn.T.TEST(P6:P12,P24:P30,2,1)</f>
        <v>0.27627122516833663</v>
      </c>
      <c r="Q35" s="176">
        <f>_xlfn.T.TEST(Q6:Q12,Q24:Q30,2,1)</f>
        <v>1</v>
      </c>
      <c r="V35" s="16" t="s">
        <v>14</v>
      </c>
      <c r="W35" s="179">
        <f>W34/SQRT(COUNT(W24:W32))</f>
        <v>14.185331013583577</v>
      </c>
      <c r="X35" s="179">
        <f t="shared" ref="X35" si="28">X34/SQRT(COUNT(X24:X32))</f>
        <v>1.6211088264396356</v>
      </c>
      <c r="Y35" s="179">
        <f>Y34/SQRT(COUNT(Y24:Y32))</f>
        <v>0.16137947814545797</v>
      </c>
    </row>
    <row r="36" spans="1:31">
      <c r="C36" s="16" t="s">
        <v>99</v>
      </c>
      <c r="D36" s="124">
        <f>(D33-D15)/D16</f>
        <v>-0.20285842455678671</v>
      </c>
      <c r="E36" s="124">
        <f t="shared" ref="E36" si="29">(E33-E15)/E16</f>
        <v>-0.54100052337244264</v>
      </c>
      <c r="F36" s="821">
        <f>(F33-F15)/F16</f>
        <v>-0.54366204506200566</v>
      </c>
      <c r="G36" s="821">
        <f>(G33-G15)/G16</f>
        <v>0.71517370613836762</v>
      </c>
    </row>
    <row r="37" spans="1:31">
      <c r="F37" s="176">
        <f>_xlfn.T.TEST(F6:F14,F24:F32,2,1)</f>
        <v>0.23621737692708158</v>
      </c>
      <c r="G37" s="176">
        <f>_xlfn.T.TEST(G6:G14,G24:G32,2,1)</f>
        <v>0.47579723851802436</v>
      </c>
    </row>
    <row r="38" spans="1:31">
      <c r="B38" t="s">
        <v>122</v>
      </c>
    </row>
    <row r="39" spans="1:31">
      <c r="B39" t="s">
        <v>132</v>
      </c>
    </row>
    <row r="41" spans="1:31" ht="16" thickBot="1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97"/>
    </row>
    <row r="43" spans="1:31" ht="16" thickBot="1"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415"/>
    </row>
    <row r="44" spans="1:31" ht="16" thickBot="1">
      <c r="B44" s="1395" t="s">
        <v>170</v>
      </c>
      <c r="C44" s="1396"/>
      <c r="D44" s="313"/>
      <c r="E44" s="313"/>
      <c r="F44" s="313"/>
      <c r="G44" s="313"/>
      <c r="H44" s="313"/>
      <c r="I44" s="313"/>
      <c r="J44" s="313"/>
      <c r="K44" s="313"/>
      <c r="L44" s="1395" t="s">
        <v>170</v>
      </c>
      <c r="M44" s="1396"/>
      <c r="N44" s="313"/>
      <c r="O44" s="313"/>
      <c r="P44" s="313"/>
      <c r="Q44" s="313"/>
      <c r="R44" s="313"/>
      <c r="S44" s="415"/>
    </row>
    <row r="45" spans="1:31">
      <c r="B45" s="1381" t="s">
        <v>77</v>
      </c>
      <c r="C45" s="1382"/>
      <c r="D45" s="318" t="s">
        <v>124</v>
      </c>
      <c r="E45" s="1417" t="s">
        <v>126</v>
      </c>
      <c r="F45" s="388" t="s">
        <v>127</v>
      </c>
      <c r="G45" s="1417" t="s">
        <v>40</v>
      </c>
      <c r="H45" s="1417" t="s">
        <v>128</v>
      </c>
      <c r="I45" s="313"/>
      <c r="J45" s="313"/>
      <c r="K45" s="313"/>
      <c r="L45" s="1381" t="s">
        <v>77</v>
      </c>
      <c r="M45" s="1382"/>
      <c r="N45" s="318" t="s">
        <v>124</v>
      </c>
      <c r="O45" s="1417" t="s">
        <v>126</v>
      </c>
      <c r="P45" s="388" t="s">
        <v>127</v>
      </c>
      <c r="Q45" s="1417" t="s">
        <v>40</v>
      </c>
      <c r="R45" s="1417" t="s">
        <v>128</v>
      </c>
      <c r="S45" s="415"/>
    </row>
    <row r="46" spans="1:31" ht="16" thickBot="1">
      <c r="B46" s="1383"/>
      <c r="C46" s="1384"/>
      <c r="D46" s="389" t="s">
        <v>20</v>
      </c>
      <c r="E46" s="1418"/>
      <c r="F46" s="390" t="s">
        <v>129</v>
      </c>
      <c r="G46" s="1418"/>
      <c r="H46" s="1418"/>
      <c r="I46" s="313"/>
      <c r="J46" s="313"/>
      <c r="K46" s="313"/>
      <c r="L46" s="1383"/>
      <c r="M46" s="1384"/>
      <c r="N46" s="389" t="s">
        <v>20</v>
      </c>
      <c r="O46" s="1418"/>
      <c r="P46" s="390" t="s">
        <v>129</v>
      </c>
      <c r="Q46" s="1418"/>
      <c r="R46" s="1418"/>
      <c r="S46" s="415"/>
    </row>
    <row r="47" spans="1:31" ht="16" thickBot="1">
      <c r="B47" s="322" t="s">
        <v>60</v>
      </c>
      <c r="C47" s="328" t="s">
        <v>57</v>
      </c>
      <c r="D47" s="361">
        <f t="shared" ref="D47:G48" si="30">D24-D6</f>
        <v>-6.7330895795246875</v>
      </c>
      <c r="E47" s="361">
        <f t="shared" si="30"/>
        <v>1.2128967924214749</v>
      </c>
      <c r="F47" s="391">
        <f t="shared" si="30"/>
        <v>-2.3599999999999994</v>
      </c>
      <c r="G47" s="392">
        <f t="shared" si="30"/>
        <v>0</v>
      </c>
      <c r="H47" s="361"/>
      <c r="I47" s="313"/>
      <c r="J47" s="313"/>
      <c r="K47" s="313"/>
      <c r="L47" s="343" t="s">
        <v>61</v>
      </c>
      <c r="M47" s="328" t="s">
        <v>58</v>
      </c>
      <c r="N47" s="361">
        <f t="shared" ref="N47:P48" si="31">N24-N6</f>
        <v>-4.3972828929592538</v>
      </c>
      <c r="O47" s="361">
        <f t="shared" si="31"/>
        <v>-6.8835359822709989</v>
      </c>
      <c r="P47" s="361">
        <f t="shared" si="31"/>
        <v>-0.21000000000000085</v>
      </c>
      <c r="Q47" s="361">
        <f t="shared" ref="Q47" si="32">Q24-Q6</f>
        <v>0</v>
      </c>
      <c r="R47" s="361"/>
      <c r="S47" s="415"/>
    </row>
    <row r="48" spans="1:31" ht="16" thickBot="1">
      <c r="B48" s="322" t="s">
        <v>60</v>
      </c>
      <c r="C48" s="331" t="s">
        <v>59</v>
      </c>
      <c r="D48" s="361">
        <f t="shared" si="30"/>
        <v>-40.69969566129987</v>
      </c>
      <c r="E48" s="361">
        <f t="shared" si="30"/>
        <v>-0.84229789833486279</v>
      </c>
      <c r="F48" s="391">
        <f t="shared" si="30"/>
        <v>-0.4399999999999995</v>
      </c>
      <c r="G48" s="392">
        <f t="shared" si="30"/>
        <v>2</v>
      </c>
      <c r="H48" s="361"/>
      <c r="I48" s="313"/>
      <c r="J48" s="313"/>
      <c r="K48" s="313"/>
      <c r="L48" s="322" t="s">
        <v>61</v>
      </c>
      <c r="M48" s="328" t="s">
        <v>63</v>
      </c>
      <c r="N48" s="361">
        <f t="shared" si="31"/>
        <v>36.702908762544524</v>
      </c>
      <c r="O48" s="361">
        <f t="shared" si="31"/>
        <v>1.2744332567075816</v>
      </c>
      <c r="P48" s="361">
        <f t="shared" si="31"/>
        <v>3.4199999999999995</v>
      </c>
      <c r="Q48" s="361">
        <f t="shared" ref="Q48" si="33">Q25-Q7</f>
        <v>5</v>
      </c>
      <c r="R48" s="361"/>
      <c r="S48" s="415"/>
    </row>
    <row r="49" spans="2:19" ht="16" thickBot="1">
      <c r="B49" s="322" t="s">
        <v>60</v>
      </c>
      <c r="C49" s="328" t="s">
        <v>62</v>
      </c>
      <c r="D49" s="361">
        <f t="shared" ref="D49:D55" si="34">D26-D8</f>
        <v>-10.496955286142111</v>
      </c>
      <c r="E49" s="361">
        <f t="shared" ref="E49:G55" si="35">E26-E8</f>
        <v>-2.7575785883627049</v>
      </c>
      <c r="F49" s="391">
        <f t="shared" si="35"/>
        <v>-1.96</v>
      </c>
      <c r="G49" s="392">
        <f t="shared" si="35"/>
        <v>1</v>
      </c>
      <c r="H49" s="361"/>
      <c r="I49" s="313" t="s">
        <v>115</v>
      </c>
      <c r="J49" s="313"/>
      <c r="K49" s="313"/>
      <c r="L49" s="322" t="s">
        <v>61</v>
      </c>
      <c r="M49" s="328" t="s">
        <v>65</v>
      </c>
      <c r="N49" s="361">
        <f t="shared" ref="N49:N53" si="36">N26-N8</f>
        <v>-16.915161644904742</v>
      </c>
      <c r="O49" s="361">
        <f t="shared" ref="O49:Q53" si="37">O26-O8</f>
        <v>5.6122587309622958</v>
      </c>
      <c r="P49" s="361">
        <f t="shared" si="37"/>
        <v>0.2200000000000002</v>
      </c>
      <c r="Q49" s="361">
        <f t="shared" si="37"/>
        <v>1</v>
      </c>
      <c r="R49" s="361"/>
      <c r="S49" s="415"/>
    </row>
    <row r="50" spans="2:19" ht="16" thickBot="1">
      <c r="B50" s="322" t="s">
        <v>60</v>
      </c>
      <c r="C50" s="328" t="s">
        <v>64</v>
      </c>
      <c r="D50" s="361">
        <f t="shared" si="34"/>
        <v>-17.339106566314769</v>
      </c>
      <c r="E50" s="361">
        <f t="shared" si="35"/>
        <v>-15.752693111111753</v>
      </c>
      <c r="F50" s="391">
        <f t="shared" si="35"/>
        <v>-3.0699999999999994</v>
      </c>
      <c r="G50" s="392">
        <f t="shared" si="35"/>
        <v>-2</v>
      </c>
      <c r="H50" s="361"/>
      <c r="I50" s="313"/>
      <c r="J50" s="313"/>
      <c r="K50" s="313"/>
      <c r="L50" s="332" t="s">
        <v>61</v>
      </c>
      <c r="M50" s="328" t="s">
        <v>66</v>
      </c>
      <c r="N50" s="361">
        <f t="shared" si="36"/>
        <v>-33.078292780426068</v>
      </c>
      <c r="O50" s="361">
        <f t="shared" si="37"/>
        <v>3.8964302561064699</v>
      </c>
      <c r="P50" s="361"/>
      <c r="Q50" s="361">
        <f t="shared" si="37"/>
        <v>0</v>
      </c>
      <c r="R50" s="361"/>
      <c r="S50" s="415"/>
    </row>
    <row r="51" spans="2:19" ht="16" thickBot="1">
      <c r="B51" s="332" t="s">
        <v>60</v>
      </c>
      <c r="C51" s="328" t="s">
        <v>67</v>
      </c>
      <c r="D51" s="361">
        <f t="shared" si="34"/>
        <v>3.1926326461642702</v>
      </c>
      <c r="E51" s="361">
        <f t="shared" si="35"/>
        <v>-4.2755158328920828</v>
      </c>
      <c r="F51" s="391">
        <f t="shared" si="35"/>
        <v>5.46</v>
      </c>
      <c r="G51" s="392">
        <f t="shared" si="35"/>
        <v>20</v>
      </c>
      <c r="H51" s="361"/>
      <c r="I51" s="313" t="s">
        <v>131</v>
      </c>
      <c r="J51" s="313"/>
      <c r="K51" s="313"/>
      <c r="L51" s="322" t="s">
        <v>61</v>
      </c>
      <c r="M51" s="328" t="s">
        <v>69</v>
      </c>
      <c r="N51" s="361">
        <f t="shared" si="36"/>
        <v>-17.102784753625826</v>
      </c>
      <c r="O51" s="361">
        <f t="shared" si="37"/>
        <v>-4.1683063991329163</v>
      </c>
      <c r="P51" s="361">
        <f t="shared" si="37"/>
        <v>-0.41000000000000014</v>
      </c>
      <c r="Q51" s="361">
        <f t="shared" si="37"/>
        <v>0</v>
      </c>
      <c r="R51" s="361"/>
      <c r="S51" s="415"/>
    </row>
    <row r="52" spans="2:19" ht="16" thickBot="1">
      <c r="B52" s="322" t="s">
        <v>60</v>
      </c>
      <c r="C52" s="328" t="s">
        <v>68</v>
      </c>
      <c r="D52" s="361">
        <f t="shared" si="34"/>
        <v>2.1962716375581408</v>
      </c>
      <c r="E52" s="361">
        <f t="shared" si="35"/>
        <v>-4.650493127652183</v>
      </c>
      <c r="F52" s="391">
        <f t="shared" si="35"/>
        <v>-1.96</v>
      </c>
      <c r="G52" s="392">
        <f t="shared" si="35"/>
        <v>2</v>
      </c>
      <c r="H52" s="361"/>
      <c r="I52" s="313" t="s">
        <v>130</v>
      </c>
      <c r="J52" s="313"/>
      <c r="K52" s="313"/>
      <c r="L52" s="322" t="s">
        <v>61</v>
      </c>
      <c r="M52" s="328" t="s">
        <v>70</v>
      </c>
      <c r="N52" s="361">
        <f t="shared" si="36"/>
        <v>-1.9019924141302909</v>
      </c>
      <c r="O52" s="361">
        <f t="shared" si="37"/>
        <v>7.6194683340739573</v>
      </c>
      <c r="P52" s="361">
        <f t="shared" si="37"/>
        <v>-0.17999999999999972</v>
      </c>
      <c r="Q52" s="361">
        <f t="shared" si="37"/>
        <v>-2</v>
      </c>
      <c r="R52" s="361"/>
      <c r="S52" s="415"/>
    </row>
    <row r="53" spans="2:19" ht="16" thickBot="1">
      <c r="B53" s="322" t="s">
        <v>60</v>
      </c>
      <c r="C53" s="328" t="s">
        <v>71</v>
      </c>
      <c r="D53" s="361">
        <f t="shared" si="34"/>
        <v>-12.326750669742637</v>
      </c>
      <c r="E53" s="361">
        <f t="shared" si="35"/>
        <v>-3.8697051533824833</v>
      </c>
      <c r="F53" s="391">
        <f t="shared" si="35"/>
        <v>-0.71</v>
      </c>
      <c r="G53" s="392">
        <f t="shared" si="35"/>
        <v>0</v>
      </c>
      <c r="H53" s="361"/>
      <c r="I53" s="313"/>
      <c r="J53" s="313"/>
      <c r="K53" s="313"/>
      <c r="L53" s="333" t="s">
        <v>61</v>
      </c>
      <c r="M53" s="328" t="s">
        <v>74</v>
      </c>
      <c r="N53" s="361">
        <f t="shared" si="36"/>
        <v>1.5986698440517841</v>
      </c>
      <c r="O53" s="361">
        <f t="shared" si="37"/>
        <v>4.9211539001853595</v>
      </c>
      <c r="P53" s="361">
        <f t="shared" si="37"/>
        <v>1.6800000000000006</v>
      </c>
      <c r="Q53" s="361">
        <f t="shared" si="37"/>
        <v>-4</v>
      </c>
      <c r="R53" s="361"/>
      <c r="S53" s="415"/>
    </row>
    <row r="54" spans="2:19" ht="16" thickBot="1">
      <c r="B54" s="322" t="s">
        <v>60</v>
      </c>
      <c r="C54" s="328" t="s">
        <v>72</v>
      </c>
      <c r="D54" s="361">
        <f t="shared" si="34"/>
        <v>-5.7893614929858472</v>
      </c>
      <c r="E54" s="361">
        <f t="shared" si="35"/>
        <v>-2.9006085031291065</v>
      </c>
      <c r="F54" s="391">
        <f t="shared" si="35"/>
        <v>-2.2800000000000002</v>
      </c>
      <c r="G54" s="392">
        <f t="shared" si="35"/>
        <v>-1</v>
      </c>
      <c r="H54" s="361"/>
      <c r="I54" s="313"/>
      <c r="J54" s="313"/>
      <c r="K54" s="313"/>
      <c r="L54" s="313"/>
      <c r="M54" s="334" t="s">
        <v>76</v>
      </c>
      <c r="N54" s="393">
        <f>AVERAGE(N45:N53)</f>
        <v>-5.0134194113499815</v>
      </c>
      <c r="O54" s="393">
        <f t="shared" ref="O54" si="38">AVERAGE(O45:O53)</f>
        <v>1.7531288709473927</v>
      </c>
      <c r="P54" s="393">
        <f>AVERAGE(P47:P49,P51:P53)</f>
        <v>0.7533333333333333</v>
      </c>
      <c r="Q54" s="393">
        <f>AVERAGE(Q47:Q53)</f>
        <v>0</v>
      </c>
      <c r="R54" s="393"/>
      <c r="S54" s="415"/>
    </row>
    <row r="55" spans="2:19" ht="16" thickBot="1">
      <c r="B55" s="333" t="s">
        <v>60</v>
      </c>
      <c r="C55" s="328" t="s">
        <v>73</v>
      </c>
      <c r="D55" s="361">
        <f t="shared" si="34"/>
        <v>10.300479639020921</v>
      </c>
      <c r="E55" s="361">
        <f t="shared" si="35"/>
        <v>-3.2844221683445909</v>
      </c>
      <c r="F55" s="391">
        <f t="shared" si="35"/>
        <v>4.2699999999999996</v>
      </c>
      <c r="G55" s="392">
        <f t="shared" si="35"/>
        <v>1</v>
      </c>
      <c r="H55" s="361"/>
      <c r="I55" s="313"/>
      <c r="J55" s="313"/>
      <c r="K55" s="313"/>
      <c r="L55" s="313"/>
      <c r="M55" s="334" t="s">
        <v>13</v>
      </c>
      <c r="N55" s="393">
        <f>STDEVA(N45:N53)</f>
        <v>19.067549718075043</v>
      </c>
      <c r="O55" s="393">
        <f t="shared" ref="O55" si="39">STDEVA(O45:O53)</f>
        <v>5.0215357433990491</v>
      </c>
      <c r="P55" s="393">
        <f>STDEVA(P47:P49,P51:P53)</f>
        <v>1.5104127471213513</v>
      </c>
      <c r="Q55" s="393">
        <f t="shared" ref="Q55" si="40">STDEVA(Q45:Q53)</f>
        <v>2.5634797778466227</v>
      </c>
      <c r="R55" s="393"/>
      <c r="S55" s="415"/>
    </row>
    <row r="56" spans="2:19">
      <c r="B56" s="313"/>
      <c r="C56" s="334" t="s">
        <v>76</v>
      </c>
      <c r="D56" s="393">
        <f>AVERAGE(D47:D55)</f>
        <v>-8.6328417036962879</v>
      </c>
      <c r="E56" s="393">
        <f t="shared" ref="E56" si="41">AVERAGE(E47:E55)</f>
        <v>-4.1244908434209213</v>
      </c>
      <c r="F56" s="393">
        <f>AVERAGE(F47:F55)</f>
        <v>-0.3388888888888888</v>
      </c>
      <c r="G56" s="393">
        <f>AVERAGE(G47:G50,G52:G55)</f>
        <v>0.375</v>
      </c>
      <c r="H56" s="393"/>
      <c r="I56" s="393"/>
      <c r="J56" s="313"/>
      <c r="K56" s="313"/>
      <c r="L56" s="313"/>
      <c r="M56" s="334" t="s">
        <v>14</v>
      </c>
      <c r="N56" s="393">
        <f>N55/SQRT(COUNT(N45:N53))</f>
        <v>7.2068563807694721</v>
      </c>
      <c r="O56" s="393">
        <f t="shared" ref="O56" si="42">O55/SQRT(COUNT(O45:O53))</f>
        <v>1.8979621109508196</v>
      </c>
      <c r="P56" s="393">
        <f t="shared" ref="P56" si="43">P55/SQRT(COUNT(P45:P53))</f>
        <v>0.61662342190711872</v>
      </c>
      <c r="Q56" s="393">
        <f t="shared" ref="Q56" si="44">Q55/SQRT(COUNT(Q45:Q53))</f>
        <v>0.96890428330360956</v>
      </c>
      <c r="R56" s="393"/>
      <c r="S56" s="415"/>
    </row>
    <row r="57" spans="2:19" ht="16" thickBot="1">
      <c r="B57" s="313"/>
      <c r="C57" s="334" t="s">
        <v>13</v>
      </c>
      <c r="D57" s="393">
        <f>STDEVA(D47:D55)</f>
        <v>14.783769342422328</v>
      </c>
      <c r="E57" s="393">
        <f t="shared" ref="E57" si="45">STDEVA(E47:E55)</f>
        <v>4.7290596377002752</v>
      </c>
      <c r="F57" s="393">
        <f>STDEVA(F47:F55)</f>
        <v>3.0737739199738017</v>
      </c>
      <c r="G57" s="393">
        <f>STDEVA(G47:G50,G52:G55)</f>
        <v>1.407885953173359</v>
      </c>
      <c r="H57" s="393"/>
      <c r="I57" s="393"/>
      <c r="J57" s="313"/>
      <c r="K57" s="313"/>
      <c r="L57" s="313"/>
      <c r="M57" s="373" t="s">
        <v>99</v>
      </c>
      <c r="N57" s="395">
        <f>N54/N14</f>
        <v>-9.4496204909956596E-2</v>
      </c>
      <c r="O57" s="395">
        <f>O54/O14</f>
        <v>0.21473492225476659</v>
      </c>
      <c r="P57" s="395">
        <f t="shared" ref="P57:Q57" si="46">P54/P14</f>
        <v>0.22935210044339574</v>
      </c>
      <c r="Q57" s="395">
        <f t="shared" si="46"/>
        <v>0</v>
      </c>
      <c r="R57" s="372"/>
      <c r="S57" s="415"/>
    </row>
    <row r="58" spans="2:19">
      <c r="B58" s="313"/>
      <c r="C58" s="334" t="s">
        <v>14</v>
      </c>
      <c r="D58" s="393">
        <f>D57/SQRT(COUNT(D47:D55))</f>
        <v>4.9279231141407758</v>
      </c>
      <c r="E58" s="393">
        <f t="shared" ref="E58" si="47">E57/SQRT(COUNT(E47:E55))</f>
        <v>1.5763532125667583</v>
      </c>
      <c r="F58" s="393">
        <f>F57/SQRT(COUNT(F47:F55))</f>
        <v>1.024591306657934</v>
      </c>
      <c r="G58" s="393">
        <f>G57/SQRT(COUNT(G47:G55))</f>
        <v>0.46929531772445299</v>
      </c>
      <c r="H58" s="393"/>
      <c r="I58" s="393"/>
      <c r="J58" s="313"/>
      <c r="K58" s="313"/>
      <c r="L58" s="313"/>
      <c r="M58" s="338" t="s">
        <v>100</v>
      </c>
      <c r="N58" s="393">
        <f>SQRT((((7-1)*(N14^2)+((9-1)*D16^2))/(9+7-2)))</f>
        <v>47.341149024418094</v>
      </c>
      <c r="O58" s="393">
        <f t="shared" ref="O58:Q58" si="48">SQRT((((7-1)*(O14^2)+((9-1)*E16^2))/(9+7-2)))</f>
        <v>7.8599414743950149</v>
      </c>
      <c r="P58" s="393">
        <f>SQRT((((6-1)*(P14^2)+((9-1)*F16^2))/(9+6-2)))</f>
        <v>2.6343300612859553</v>
      </c>
      <c r="Q58" s="393">
        <f t="shared" si="48"/>
        <v>1.9665571282765972</v>
      </c>
      <c r="R58" s="313"/>
      <c r="S58" s="415"/>
    </row>
    <row r="59" spans="2:19" ht="16" thickBot="1">
      <c r="B59" s="313"/>
      <c r="C59" s="373" t="s">
        <v>99</v>
      </c>
      <c r="D59" s="395">
        <f>D56/D16</f>
        <v>-0.2028584245567871</v>
      </c>
      <c r="E59" s="395">
        <f>E56/E16</f>
        <v>-0.54100052337244531</v>
      </c>
      <c r="F59" s="395">
        <f t="shared" ref="F59:G59" si="49">F56/F16</f>
        <v>-0.15915241631089311</v>
      </c>
      <c r="G59" s="395">
        <f t="shared" si="49"/>
        <v>0.58514212320412051</v>
      </c>
      <c r="H59" s="395"/>
      <c r="I59" s="393"/>
      <c r="J59" s="313"/>
      <c r="K59" s="313"/>
      <c r="L59" s="313"/>
      <c r="M59" s="338" t="s">
        <v>101</v>
      </c>
      <c r="N59" s="336">
        <f>(D56-N54)/N58</f>
        <v>-7.6454044038505364E-2</v>
      </c>
      <c r="O59" s="336">
        <f t="shared" ref="O59" si="50">(E56-O54)/O58</f>
        <v>-0.74779433581224197</v>
      </c>
      <c r="P59" s="821">
        <f>(P54-F56)/P58</f>
        <v>0.41461100044883925</v>
      </c>
      <c r="Q59" s="336">
        <f>(Q54-G56)/Q58</f>
        <v>-0.19068858697668917</v>
      </c>
      <c r="R59" s="313"/>
      <c r="S59" s="415"/>
    </row>
    <row r="60" spans="2:19">
      <c r="B60" s="313"/>
      <c r="C60" s="338" t="s">
        <v>100</v>
      </c>
      <c r="D60" s="393">
        <f>SQRT((((7-1)*(N14^2)+((9-1)*D16^2))/(9+7-2)))</f>
        <v>47.341149024418094</v>
      </c>
      <c r="E60" s="393">
        <f t="shared" ref="E60:G60" si="51">SQRT((((7-1)*(O14^2)+((9-1)*E16^2))/(9+7-2)))</f>
        <v>7.8599414743950149</v>
      </c>
      <c r="F60" s="393">
        <f>SQRT((((7-1)*(P14^2)+((8-1)*F16^2))/(8+7-2)))</f>
        <v>2.7241181908247687</v>
      </c>
      <c r="G60" s="393">
        <f t="shared" si="51"/>
        <v>1.9665571282765972</v>
      </c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415"/>
    </row>
    <row r="61" spans="2:19">
      <c r="B61" s="313"/>
      <c r="C61" s="338" t="s">
        <v>101</v>
      </c>
      <c r="D61" s="336">
        <f>(D56-N54)/N58</f>
        <v>-7.6454044038505364E-2</v>
      </c>
      <c r="E61" s="336">
        <f t="shared" ref="E61:G61" si="52">(E56-O54)/O58</f>
        <v>-0.74779433581224197</v>
      </c>
      <c r="F61" s="336">
        <f>(P54-F56)/F60</f>
        <v>0.40094524015183602</v>
      </c>
      <c r="G61" s="336">
        <f t="shared" si="52"/>
        <v>0.19068858697668917</v>
      </c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415"/>
    </row>
    <row r="62" spans="2:19">
      <c r="C62" s="387"/>
    </row>
    <row r="63" spans="2:19">
      <c r="C63" s="387"/>
    </row>
    <row r="64" spans="2:19">
      <c r="B64" t="s">
        <v>132</v>
      </c>
      <c r="C64" s="387"/>
      <c r="M64" s="283" t="s">
        <v>168</v>
      </c>
    </row>
    <row r="65" spans="2:19" ht="16" thickBot="1">
      <c r="C65" s="387"/>
    </row>
    <row r="66" spans="2:19" ht="16" thickBot="1">
      <c r="B66" s="1331" t="s">
        <v>177</v>
      </c>
      <c r="C66" s="1332"/>
      <c r="L66" s="1331" t="s">
        <v>182</v>
      </c>
      <c r="M66" s="1332"/>
    </row>
    <row r="67" spans="2:19">
      <c r="B67" s="1344" t="s">
        <v>77</v>
      </c>
      <c r="C67" s="1391"/>
      <c r="D67" s="149" t="s">
        <v>124</v>
      </c>
      <c r="E67" s="1329" t="s">
        <v>126</v>
      </c>
      <c r="F67" s="301" t="s">
        <v>127</v>
      </c>
      <c r="G67" s="1329" t="s">
        <v>40</v>
      </c>
      <c r="H67" s="1329" t="s">
        <v>128</v>
      </c>
      <c r="L67" s="1344" t="s">
        <v>77</v>
      </c>
      <c r="M67" s="1391"/>
      <c r="N67" s="149" t="s">
        <v>124</v>
      </c>
      <c r="O67" s="1329" t="s">
        <v>126</v>
      </c>
      <c r="P67" s="301" t="s">
        <v>127</v>
      </c>
      <c r="Q67" s="1329" t="s">
        <v>40</v>
      </c>
      <c r="R67" s="1329" t="s">
        <v>128</v>
      </c>
    </row>
    <row r="68" spans="2:19" ht="16" thickBot="1">
      <c r="B68" s="1336"/>
      <c r="C68" s="1392"/>
      <c r="D68" s="177" t="s">
        <v>20</v>
      </c>
      <c r="E68" s="1416"/>
      <c r="F68" s="178" t="s">
        <v>129</v>
      </c>
      <c r="G68" s="1416"/>
      <c r="H68" s="1416"/>
      <c r="L68" s="1336"/>
      <c r="M68" s="1392"/>
      <c r="N68" s="177" t="s">
        <v>20</v>
      </c>
      <c r="O68" s="1416"/>
      <c r="P68" s="178" t="s">
        <v>129</v>
      </c>
      <c r="Q68" s="1416"/>
      <c r="R68" s="1416"/>
    </row>
    <row r="69" spans="2:19" ht="16" thickBot="1">
      <c r="B69" s="32" t="s">
        <v>60</v>
      </c>
      <c r="C69" s="133" t="s">
        <v>57</v>
      </c>
      <c r="D69" s="160">
        <f>(D24-D6)/D6*100</f>
        <v>-1.7767145275455896</v>
      </c>
      <c r="E69" s="160">
        <f>(E24-E6)/E6*100</f>
        <v>1.4181255015807714</v>
      </c>
      <c r="F69" s="160">
        <f>(F24-F6)/F6*100</f>
        <v>-21.299638989169669</v>
      </c>
      <c r="G69" s="160">
        <f t="shared" ref="G69" si="53">(G24-G6)/G6*100</f>
        <v>0</v>
      </c>
      <c r="H69" s="160"/>
      <c r="L69" s="89" t="s">
        <v>61</v>
      </c>
      <c r="M69" s="133" t="s">
        <v>58</v>
      </c>
      <c r="N69" s="160">
        <f t="shared" ref="N69:P70" si="54">(N24-N6)/N6*100</f>
        <v>-1.4874581055279954</v>
      </c>
      <c r="O69" s="160">
        <f t="shared" si="54"/>
        <v>-6.3886171046288966</v>
      </c>
      <c r="P69" s="160">
        <f t="shared" si="54"/>
        <v>-1.957129543336448</v>
      </c>
      <c r="Q69" s="160">
        <f t="shared" ref="Q69" si="55">(Q24-Q6)/Q6*100</f>
        <v>0</v>
      </c>
      <c r="R69" s="160"/>
    </row>
    <row r="70" spans="2:19" ht="16" thickBot="1">
      <c r="B70" s="32" t="s">
        <v>60</v>
      </c>
      <c r="C70" s="134" t="s">
        <v>59</v>
      </c>
      <c r="D70" s="160">
        <f>(D25-D7)/D7*100</f>
        <v>-11.463473414283982</v>
      </c>
      <c r="E70" s="160">
        <f>(E25-E7)/E7*100</f>
        <v>-1.0810836406018087</v>
      </c>
      <c r="F70" s="160">
        <f t="shared" ref="F70:G70" si="56">(F25-F7)/F7*100</f>
        <v>-7.2249589490968731</v>
      </c>
      <c r="G70" s="160">
        <f t="shared" si="56"/>
        <v>11.111111111111111</v>
      </c>
      <c r="H70" s="160"/>
      <c r="L70" s="32" t="s">
        <v>61</v>
      </c>
      <c r="M70" s="133" t="s">
        <v>63</v>
      </c>
      <c r="N70" s="160">
        <f t="shared" si="54"/>
        <v>15.536593715326713</v>
      </c>
      <c r="O70" s="160">
        <f t="shared" si="54"/>
        <v>1.4177905046301278</v>
      </c>
      <c r="P70" s="160">
        <f t="shared" si="54"/>
        <v>140.7407407407407</v>
      </c>
      <c r="Q70" s="160">
        <f t="shared" ref="Q70" si="57">(Q25-Q7)/Q7*100</f>
        <v>41.666666666666671</v>
      </c>
      <c r="R70" s="160"/>
    </row>
    <row r="71" spans="2:19" ht="16" thickBot="1">
      <c r="B71" s="32" t="s">
        <v>60</v>
      </c>
      <c r="C71" s="133" t="s">
        <v>62</v>
      </c>
      <c r="D71" s="160">
        <f t="shared" ref="D71:D77" si="58">(D26-D8)/D8*100</f>
        <v>-4.0572961532453862</v>
      </c>
      <c r="E71" s="160">
        <f t="shared" ref="E71:G77" si="59">(E26-E8)/E8*100</f>
        <v>-3.7133528387472534</v>
      </c>
      <c r="F71" s="160">
        <f t="shared" si="59"/>
        <v>-24.257425742574256</v>
      </c>
      <c r="G71" s="160">
        <f t="shared" si="59"/>
        <v>5.2631578947368416</v>
      </c>
      <c r="H71" s="160"/>
      <c r="I71" t="s">
        <v>112</v>
      </c>
      <c r="L71" s="32" t="s">
        <v>61</v>
      </c>
      <c r="M71" s="133" t="s">
        <v>65</v>
      </c>
      <c r="N71" s="160">
        <f t="shared" ref="N71:N75" si="60">(N26-N8)/N8*100</f>
        <v>-4.5604206295135796</v>
      </c>
      <c r="O71" s="160">
        <f t="shared" ref="O71:Q75" si="61">(O26-O8)/O8*100</f>
        <v>5.8271845935733309</v>
      </c>
      <c r="P71" s="160">
        <f t="shared" si="61"/>
        <v>6.6265060240963916</v>
      </c>
      <c r="Q71" s="160">
        <f t="shared" si="61"/>
        <v>5.2631578947368416</v>
      </c>
      <c r="R71" s="160"/>
    </row>
    <row r="72" spans="2:19" ht="16" thickBot="1">
      <c r="B72" s="32" t="s">
        <v>60</v>
      </c>
      <c r="C72" s="133" t="s">
        <v>64</v>
      </c>
      <c r="D72" s="160">
        <f t="shared" si="58"/>
        <v>-6.9208950479361224</v>
      </c>
      <c r="E72" s="160">
        <f t="shared" si="59"/>
        <v>-17.396181086785262</v>
      </c>
      <c r="F72" s="160">
        <f t="shared" si="59"/>
        <v>-32.834224598930476</v>
      </c>
      <c r="G72" s="160">
        <f t="shared" si="59"/>
        <v>-10.526315789473683</v>
      </c>
      <c r="H72" s="160"/>
      <c r="L72" s="33" t="s">
        <v>61</v>
      </c>
      <c r="M72" s="133" t="s">
        <v>66</v>
      </c>
      <c r="N72" s="160">
        <f t="shared" si="60"/>
        <v>-9.8887953724715203</v>
      </c>
      <c r="O72" s="160">
        <f t="shared" si="61"/>
        <v>4.3862309079252162</v>
      </c>
      <c r="P72" s="160"/>
      <c r="Q72" s="160">
        <f t="shared" si="61"/>
        <v>0</v>
      </c>
      <c r="R72" s="160"/>
    </row>
    <row r="73" spans="2:19" ht="16" thickBot="1">
      <c r="B73" s="33" t="s">
        <v>60</v>
      </c>
      <c r="C73" s="133" t="s">
        <v>67</v>
      </c>
      <c r="D73" s="160">
        <f t="shared" si="58"/>
        <v>1.0756581531745497</v>
      </c>
      <c r="E73" s="160">
        <f t="shared" si="59"/>
        <v>-4.8406202075053466</v>
      </c>
      <c r="F73" s="160"/>
      <c r="G73" s="160"/>
      <c r="H73" s="160"/>
      <c r="I73" t="s">
        <v>118</v>
      </c>
      <c r="L73" s="32" t="s">
        <v>61</v>
      </c>
      <c r="M73" s="133" t="s">
        <v>69</v>
      </c>
      <c r="N73" s="160">
        <f t="shared" si="60"/>
        <v>-5.0829225485232135</v>
      </c>
      <c r="O73" s="160">
        <f t="shared" si="61"/>
        <v>-4.9543532172095208</v>
      </c>
      <c r="P73" s="160">
        <f>(P28-P10)/P10*100</f>
        <v>-17.299578059071735</v>
      </c>
      <c r="Q73" s="160">
        <f t="shared" si="61"/>
        <v>0</v>
      </c>
      <c r="R73" s="160"/>
    </row>
    <row r="74" spans="2:19" ht="16" thickBot="1">
      <c r="B74" s="32" t="s">
        <v>60</v>
      </c>
      <c r="C74" s="133" t="s">
        <v>68</v>
      </c>
      <c r="D74" s="160">
        <f t="shared" si="58"/>
        <v>0.75256632481578634</v>
      </c>
      <c r="E74" s="160">
        <f t="shared" si="59"/>
        <v>-4.7766275633757962</v>
      </c>
      <c r="F74" s="160">
        <f t="shared" si="59"/>
        <v>-26.450742240215924</v>
      </c>
      <c r="G74" s="160">
        <f t="shared" si="59"/>
        <v>11.111111111111111</v>
      </c>
      <c r="H74" s="160"/>
      <c r="L74" s="32" t="s">
        <v>61</v>
      </c>
      <c r="M74" s="133" t="s">
        <v>70</v>
      </c>
      <c r="N74" s="160">
        <f t="shared" si="60"/>
        <v>-0.71981125115364475</v>
      </c>
      <c r="O74" s="160">
        <f t="shared" si="61"/>
        <v>9.0008504181699447</v>
      </c>
      <c r="P74" s="160">
        <f t="shared" si="61"/>
        <v>-2.295918367346935</v>
      </c>
      <c r="Q74" s="160">
        <f t="shared" si="61"/>
        <v>-10</v>
      </c>
      <c r="R74" s="160"/>
    </row>
    <row r="75" spans="2:19" ht="16" thickBot="1">
      <c r="B75" s="32" t="s">
        <v>60</v>
      </c>
      <c r="C75" s="133" t="s">
        <v>71</v>
      </c>
      <c r="D75" s="160">
        <f t="shared" si="58"/>
        <v>-3.8164719278778012</v>
      </c>
      <c r="E75" s="160">
        <f t="shared" si="59"/>
        <v>-4.5823063404697297</v>
      </c>
      <c r="F75" s="160">
        <f t="shared" si="59"/>
        <v>-13.75968992248062</v>
      </c>
      <c r="G75" s="160">
        <f t="shared" si="59"/>
        <v>0</v>
      </c>
      <c r="H75" s="160"/>
      <c r="L75" s="53" t="s">
        <v>61</v>
      </c>
      <c r="M75" s="133" t="s">
        <v>74</v>
      </c>
      <c r="N75" s="160">
        <f t="shared" si="60"/>
        <v>0.67681830621575345</v>
      </c>
      <c r="O75" s="160">
        <f t="shared" si="61"/>
        <v>5.2454946449571747</v>
      </c>
      <c r="P75" s="160">
        <f t="shared" si="61"/>
        <v>51.533742331288366</v>
      </c>
      <c r="Q75" s="160">
        <f t="shared" si="61"/>
        <v>-20</v>
      </c>
      <c r="R75" s="160"/>
    </row>
    <row r="76" spans="2:19" ht="16" thickBot="1">
      <c r="B76" s="32" t="s">
        <v>60</v>
      </c>
      <c r="C76" s="133" t="s">
        <v>72</v>
      </c>
      <c r="D76" s="160">
        <f t="shared" si="58"/>
        <v>-2.0239931162265994</v>
      </c>
      <c r="E76" s="160">
        <f t="shared" si="59"/>
        <v>-3.428762996829656</v>
      </c>
      <c r="F76" s="160">
        <f t="shared" si="59"/>
        <v>-32.38636363636364</v>
      </c>
      <c r="G76" s="160">
        <f t="shared" si="59"/>
        <v>-5</v>
      </c>
      <c r="H76" s="160"/>
      <c r="M76" s="16" t="s">
        <v>76</v>
      </c>
      <c r="N76" s="394">
        <f t="shared" ref="N76:P76" si="62">AVERAGE(N69:N75)</f>
        <v>-0.78942798366392675</v>
      </c>
      <c r="O76" s="394">
        <f t="shared" si="62"/>
        <v>2.0763686782024826</v>
      </c>
      <c r="P76" s="394">
        <f t="shared" si="62"/>
        <v>29.55806052106173</v>
      </c>
      <c r="Q76" s="394">
        <f>AVERAGE(Q69:Q75)</f>
        <v>2.4185463659147879</v>
      </c>
      <c r="R76" s="394" t="e">
        <f t="shared" ref="R76" si="63">AVERAGE(R67:R75)</f>
        <v>#DIV/0!</v>
      </c>
      <c r="S76" s="540"/>
    </row>
    <row r="77" spans="2:19" ht="16" thickBot="1">
      <c r="B77" s="53" t="s">
        <v>60</v>
      </c>
      <c r="C77" s="133" t="s">
        <v>73</v>
      </c>
      <c r="D77" s="160">
        <f t="shared" si="58"/>
        <v>3.6547514970217998</v>
      </c>
      <c r="E77" s="160">
        <f t="shared" si="59"/>
        <v>-3.4124160564017694</v>
      </c>
      <c r="F77" s="160">
        <f t="shared" si="59"/>
        <v>90.084388185653992</v>
      </c>
      <c r="G77" s="160">
        <f t="shared" si="59"/>
        <v>5.2631578947368416</v>
      </c>
      <c r="H77" s="160"/>
      <c r="M77" s="16" t="s">
        <v>13</v>
      </c>
      <c r="N77" s="394">
        <f t="shared" ref="N77:P77" si="64">STDEVA(N69:N75)</f>
        <v>8.0066006439374515</v>
      </c>
      <c r="O77" s="394">
        <f t="shared" si="64"/>
        <v>5.7578446516682735</v>
      </c>
      <c r="P77" s="394">
        <f t="shared" si="64"/>
        <v>59.285574354353258</v>
      </c>
      <c r="Q77" s="394">
        <f>STDEVA(Q69:Q75)</f>
        <v>19.247798040587593</v>
      </c>
      <c r="R77" s="394" t="e">
        <f t="shared" ref="R77" si="65">STDEVA(R67:R75)</f>
        <v>#DIV/0!</v>
      </c>
      <c r="S77" s="540"/>
    </row>
    <row r="78" spans="2:19">
      <c r="C78" s="16" t="s">
        <v>76</v>
      </c>
      <c r="D78" s="179">
        <f>AVERAGE(D69:D77)</f>
        <v>-2.7306520235670382</v>
      </c>
      <c r="E78" s="179">
        <f t="shared" ref="E78" si="66">AVERAGE(E69:E77)</f>
        <v>-4.6459139143484274</v>
      </c>
      <c r="F78" s="179">
        <f>AVERAGE(F69:F72,F74:F77)</f>
        <v>-8.5160819866471815</v>
      </c>
      <c r="G78" s="179">
        <f>AVERAGE(G69:G72,G74:G77)</f>
        <v>2.1527777777777777</v>
      </c>
      <c r="H78" s="179" t="e">
        <f t="shared" ref="H78" si="67">AVERAGE(H69:H77)</f>
        <v>#DIV/0!</v>
      </c>
      <c r="M78" s="16" t="s">
        <v>14</v>
      </c>
      <c r="N78" s="394">
        <f t="shared" ref="N78:P78" si="68">N77/SQRT(COUNT(N69:N75))</f>
        <v>3.0262105929811582</v>
      </c>
      <c r="O78" s="394">
        <f t="shared" si="68"/>
        <v>2.1762607194367964</v>
      </c>
      <c r="P78" s="394">
        <f t="shared" si="68"/>
        <v>24.203234379332958</v>
      </c>
      <c r="Q78" s="394">
        <f>Q77/SQRT(COUNT(Q69:Q75))</f>
        <v>7.2749838429987257</v>
      </c>
      <c r="R78" s="394" t="e">
        <f t="shared" ref="R78" si="69">R77/SQRT(COUNT(R67:R75))</f>
        <v>#DIV/0!</v>
      </c>
      <c r="S78" s="540"/>
    </row>
    <row r="79" spans="2:19">
      <c r="C79" s="16" t="s">
        <v>13</v>
      </c>
      <c r="D79" s="179">
        <f>STDEVA(D69:D77)</f>
        <v>4.5492148286724925</v>
      </c>
      <c r="E79" s="179">
        <f t="shared" ref="E79" si="70">STDEVA(E69:E77)</f>
        <v>5.1959309547288743</v>
      </c>
      <c r="F79" s="179">
        <f>STDEVA(F69:F72,F74:F77)</f>
        <v>40.787320891458705</v>
      </c>
      <c r="G79" s="179">
        <f>STDEVA(G69:G72,G74:G77)</f>
        <v>7.5691379874607296</v>
      </c>
      <c r="H79" s="179" t="e">
        <f t="shared" ref="H79" si="71">STDEVA(H69:H77)</f>
        <v>#DIV/0!</v>
      </c>
      <c r="M79" s="16" t="s">
        <v>99</v>
      </c>
      <c r="N79" s="18"/>
      <c r="O79" s="18"/>
      <c r="P79" s="18"/>
      <c r="Q79" s="18"/>
      <c r="R79" s="18"/>
      <c r="S79" s="540"/>
    </row>
    <row r="80" spans="2:19">
      <c r="C80" s="16" t="s">
        <v>14</v>
      </c>
      <c r="D80" s="179">
        <f>D79/SQRT(COUNT(D69:D77))</f>
        <v>1.5164049428908308</v>
      </c>
      <c r="E80" s="179">
        <f t="shared" ref="E80" si="72">E79/SQRT(COUNT(E69:E77))</f>
        <v>1.7319769849096247</v>
      </c>
      <c r="F80" s="179">
        <f>F79/SQRT(COUNT(F69:F77))</f>
        <v>14.420495594391094</v>
      </c>
      <c r="G80" s="179">
        <f>G79/SQRT(COUNT(G69:G77))</f>
        <v>2.6760943993350894</v>
      </c>
      <c r="H80" s="179" t="e">
        <f t="shared" ref="H80" si="73">H79/SQRT(COUNT(H69:H77))</f>
        <v>#DIV/0!</v>
      </c>
    </row>
    <row r="81" spans="3:3">
      <c r="C81" s="16" t="s">
        <v>99</v>
      </c>
    </row>
  </sheetData>
  <mergeCells count="48">
    <mergeCell ref="AA3:AB3"/>
    <mergeCell ref="AA4:AB5"/>
    <mergeCell ref="AA21:AB21"/>
    <mergeCell ref="AA22:AB23"/>
    <mergeCell ref="U3:V3"/>
    <mergeCell ref="U4:V5"/>
    <mergeCell ref="U21:V21"/>
    <mergeCell ref="U22:V23"/>
    <mergeCell ref="O67:O68"/>
    <mergeCell ref="Q67:Q68"/>
    <mergeCell ref="R67:R68"/>
    <mergeCell ref="B67:C68"/>
    <mergeCell ref="E67:E68"/>
    <mergeCell ref="G67:G68"/>
    <mergeCell ref="H67:H68"/>
    <mergeCell ref="L67:M68"/>
    <mergeCell ref="O45:O46"/>
    <mergeCell ref="Q45:Q46"/>
    <mergeCell ref="R45:R46"/>
    <mergeCell ref="B66:C66"/>
    <mergeCell ref="L66:M66"/>
    <mergeCell ref="B44:C44"/>
    <mergeCell ref="L44:M44"/>
    <mergeCell ref="B45:C46"/>
    <mergeCell ref="E45:E46"/>
    <mergeCell ref="G45:G46"/>
    <mergeCell ref="H45:H46"/>
    <mergeCell ref="L45:M46"/>
    <mergeCell ref="R22:R23"/>
    <mergeCell ref="E4:E5"/>
    <mergeCell ref="G4:G5"/>
    <mergeCell ref="H4:H5"/>
    <mergeCell ref="O4:O5"/>
    <mergeCell ref="Q4:Q5"/>
    <mergeCell ref="R4:R5"/>
    <mergeCell ref="E22:E23"/>
    <mergeCell ref="G22:G23"/>
    <mergeCell ref="H22:H23"/>
    <mergeCell ref="O22:O23"/>
    <mergeCell ref="Q22:Q23"/>
    <mergeCell ref="L3:M3"/>
    <mergeCell ref="L21:M21"/>
    <mergeCell ref="L4:M5"/>
    <mergeCell ref="L22:M23"/>
    <mergeCell ref="B3:C3"/>
    <mergeCell ref="B21:C21"/>
    <mergeCell ref="B22:C23"/>
    <mergeCell ref="B4:C5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8"/>
  <sheetViews>
    <sheetView zoomScale="50" workbookViewId="0">
      <selection activeCell="B5" sqref="B5:C13"/>
    </sheetView>
  </sheetViews>
  <sheetFormatPr baseColWidth="10" defaultRowHeight="15.5"/>
  <sheetData>
    <row r="1" spans="2:35" ht="23" thickBot="1">
      <c r="B1" s="427" t="s">
        <v>195</v>
      </c>
      <c r="M1" s="428" t="s">
        <v>200</v>
      </c>
      <c r="N1" s="156"/>
      <c r="O1" s="156"/>
      <c r="P1" s="429"/>
      <c r="S1" s="1419" t="s">
        <v>204</v>
      </c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1"/>
    </row>
    <row r="2" spans="2:35" ht="16" thickBot="1">
      <c r="B2" s="1331" t="s">
        <v>47</v>
      </c>
      <c r="C2" s="1332"/>
      <c r="J2" s="1331" t="s">
        <v>47</v>
      </c>
      <c r="K2" s="1332"/>
      <c r="S2" s="1422" t="s">
        <v>47</v>
      </c>
      <c r="T2" s="1423"/>
      <c r="AB2" s="1422" t="s">
        <v>47</v>
      </c>
      <c r="AC2" s="1423"/>
    </row>
    <row r="3" spans="2:35">
      <c r="B3" s="1344" t="s">
        <v>77</v>
      </c>
      <c r="C3" s="1391"/>
      <c r="D3" s="196" t="s">
        <v>138</v>
      </c>
      <c r="E3" s="196" t="s">
        <v>138</v>
      </c>
      <c r="F3" s="196" t="s">
        <v>138</v>
      </c>
      <c r="G3" s="196" t="s">
        <v>138</v>
      </c>
      <c r="H3" s="468" t="s">
        <v>19</v>
      </c>
      <c r="J3" s="1344" t="s">
        <v>77</v>
      </c>
      <c r="K3" s="1391"/>
      <c r="L3" s="196" t="s">
        <v>138</v>
      </c>
      <c r="M3" s="196" t="s">
        <v>138</v>
      </c>
      <c r="N3" s="196" t="s">
        <v>138</v>
      </c>
      <c r="O3" s="196" t="s">
        <v>138</v>
      </c>
      <c r="P3" s="468" t="s">
        <v>19</v>
      </c>
      <c r="S3" s="1344" t="s">
        <v>77</v>
      </c>
      <c r="T3" s="1391"/>
      <c r="U3" s="196" t="s">
        <v>138</v>
      </c>
      <c r="V3" s="196" t="s">
        <v>138</v>
      </c>
      <c r="W3" s="196" t="s">
        <v>138</v>
      </c>
      <c r="X3" s="454" t="s">
        <v>138</v>
      </c>
      <c r="Y3" s="196" t="s">
        <v>138</v>
      </c>
      <c r="Z3" s="468" t="s">
        <v>19</v>
      </c>
      <c r="AB3" s="1344" t="s">
        <v>77</v>
      </c>
      <c r="AC3" s="1391"/>
      <c r="AD3" s="196" t="s">
        <v>138</v>
      </c>
      <c r="AE3" s="196" t="s">
        <v>138</v>
      </c>
      <c r="AF3" s="196" t="s">
        <v>138</v>
      </c>
      <c r="AG3" s="196" t="s">
        <v>138</v>
      </c>
      <c r="AH3" s="196" t="s">
        <v>138</v>
      </c>
      <c r="AI3" s="468" t="s">
        <v>19</v>
      </c>
    </row>
    <row r="4" spans="2:35" ht="16" thickBot="1">
      <c r="B4" s="1336"/>
      <c r="C4" s="1392"/>
      <c r="D4" s="213" t="s">
        <v>135</v>
      </c>
      <c r="E4" s="430" t="s">
        <v>136</v>
      </c>
      <c r="F4" s="426" t="s">
        <v>193</v>
      </c>
      <c r="G4" s="430" t="s">
        <v>194</v>
      </c>
      <c r="H4" s="472" t="s">
        <v>139</v>
      </c>
      <c r="J4" s="1336"/>
      <c r="K4" s="1392"/>
      <c r="L4" s="213" t="s">
        <v>135</v>
      </c>
      <c r="M4" s="430" t="s">
        <v>136</v>
      </c>
      <c r="N4" s="426" t="s">
        <v>193</v>
      </c>
      <c r="O4" s="430" t="s">
        <v>194</v>
      </c>
      <c r="P4" s="469" t="s">
        <v>139</v>
      </c>
      <c r="S4" s="1336"/>
      <c r="T4" s="1392"/>
      <c r="U4" s="213" t="s">
        <v>135</v>
      </c>
      <c r="V4" s="430" t="s">
        <v>136</v>
      </c>
      <c r="W4" s="426" t="s">
        <v>193</v>
      </c>
      <c r="X4" s="482" t="s">
        <v>194</v>
      </c>
      <c r="Y4" s="206" t="s">
        <v>76</v>
      </c>
      <c r="Z4" s="469" t="s">
        <v>139</v>
      </c>
      <c r="AB4" s="1336"/>
      <c r="AC4" s="1392"/>
      <c r="AD4" s="213" t="s">
        <v>135</v>
      </c>
      <c r="AE4" s="430" t="s">
        <v>136</v>
      </c>
      <c r="AF4" s="426" t="s">
        <v>193</v>
      </c>
      <c r="AG4" s="430" t="s">
        <v>194</v>
      </c>
      <c r="AH4" s="430" t="s">
        <v>76</v>
      </c>
      <c r="AI4" s="483" t="s">
        <v>139</v>
      </c>
    </row>
    <row r="5" spans="2:35" ht="16" thickBot="1">
      <c r="B5" s="32" t="s">
        <v>60</v>
      </c>
      <c r="C5" s="133" t="s">
        <v>57</v>
      </c>
      <c r="D5" s="431">
        <v>4948.5</v>
      </c>
      <c r="E5" s="432">
        <v>5210.4545500000004</v>
      </c>
      <c r="F5" s="432">
        <v>5457.125</v>
      </c>
      <c r="G5" s="433">
        <v>5655.9166699999996</v>
      </c>
      <c r="H5" s="473">
        <v>5906</v>
      </c>
      <c r="J5" s="89" t="s">
        <v>61</v>
      </c>
      <c r="K5" s="133" t="s">
        <v>58</v>
      </c>
      <c r="L5" s="443">
        <v>4224.8888900000002</v>
      </c>
      <c r="M5" s="444">
        <v>4379.2727299999997</v>
      </c>
      <c r="N5" s="444">
        <v>4462.0833300000004</v>
      </c>
      <c r="O5" s="445">
        <v>4849.9166699999996</v>
      </c>
      <c r="P5" s="470">
        <v>5439</v>
      </c>
      <c r="S5" s="32" t="s">
        <v>60</v>
      </c>
      <c r="T5" s="133" t="s">
        <v>57</v>
      </c>
      <c r="U5" s="476">
        <f>D5/$H$5*100</f>
        <v>83.787673552319674</v>
      </c>
      <c r="V5" s="478">
        <f t="shared" ref="V5:X5" si="0">E5/$H$5*100</f>
        <v>88.223070606163233</v>
      </c>
      <c r="W5" s="478">
        <f t="shared" si="0"/>
        <v>92.39967829326109</v>
      </c>
      <c r="X5" s="478">
        <f t="shared" si="0"/>
        <v>95.76560565526583</v>
      </c>
      <c r="Y5" s="479">
        <f>AVERAGE(U5:X5)</f>
        <v>90.044007026752467</v>
      </c>
      <c r="Z5" s="484">
        <v>5906</v>
      </c>
      <c r="AB5" s="89" t="s">
        <v>61</v>
      </c>
      <c r="AC5" s="133" t="s">
        <v>58</v>
      </c>
      <c r="AD5" s="476">
        <f>L5/$P$5*100</f>
        <v>77.67767769810628</v>
      </c>
      <c r="AE5" s="478">
        <f t="shared" ref="AE5:AG5" si="1">M5/$P$5*100</f>
        <v>80.516137709137709</v>
      </c>
      <c r="AF5" s="478">
        <f t="shared" si="1"/>
        <v>82.038671263099843</v>
      </c>
      <c r="AG5" s="478">
        <f t="shared" si="1"/>
        <v>89.169271373414233</v>
      </c>
      <c r="AH5" s="476">
        <f>AVERAGE(AD5:AG5)</f>
        <v>82.350439510939509</v>
      </c>
      <c r="AI5" s="486">
        <v>5439</v>
      </c>
    </row>
    <row r="6" spans="2:35" ht="16" thickBot="1">
      <c r="B6" s="32" t="s">
        <v>60</v>
      </c>
      <c r="C6" s="134" t="s">
        <v>59</v>
      </c>
      <c r="D6" s="434">
        <v>4787</v>
      </c>
      <c r="E6" s="435">
        <v>4863.4166699999996</v>
      </c>
      <c r="F6" s="435">
        <v>4981.75</v>
      </c>
      <c r="G6" s="436">
        <v>5306.6666699999996</v>
      </c>
      <c r="H6" s="474">
        <v>5690</v>
      </c>
      <c r="J6" s="32" t="s">
        <v>61</v>
      </c>
      <c r="K6" s="133" t="s">
        <v>63</v>
      </c>
      <c r="L6" s="446">
        <v>3587.5833299999999</v>
      </c>
      <c r="M6" s="447">
        <v>3505</v>
      </c>
      <c r="N6" s="447">
        <v>3482</v>
      </c>
      <c r="O6" s="448">
        <v>3583</v>
      </c>
      <c r="P6" s="471">
        <v>4993</v>
      </c>
      <c r="S6" s="32" t="s">
        <v>60</v>
      </c>
      <c r="T6" s="134" t="s">
        <v>59</v>
      </c>
      <c r="U6" s="479">
        <f>D6/$H$6*100</f>
        <v>84.130052724077331</v>
      </c>
      <c r="V6" s="477">
        <f t="shared" ref="V6:X6" si="2">E6/$H$6*100</f>
        <v>85.473052196836548</v>
      </c>
      <c r="W6" s="477">
        <f t="shared" si="2"/>
        <v>87.552724077328648</v>
      </c>
      <c r="X6" s="477">
        <f t="shared" si="2"/>
        <v>93.263034622144104</v>
      </c>
      <c r="Y6" s="479">
        <f t="shared" ref="Y6:Y13" si="3">AVERAGE(U6:X6)</f>
        <v>87.604715905096668</v>
      </c>
      <c r="Z6" s="463">
        <v>5690</v>
      </c>
      <c r="AB6" s="32" t="s">
        <v>61</v>
      </c>
      <c r="AC6" s="133" t="s">
        <v>63</v>
      </c>
      <c r="AD6" s="479">
        <f>L6/$P$6*100</f>
        <v>71.852259763669139</v>
      </c>
      <c r="AE6" s="477">
        <f t="shared" ref="AE6:AG6" si="4">M6/$P$6*100</f>
        <v>70.198277588624066</v>
      </c>
      <c r="AF6" s="477">
        <f t="shared" si="4"/>
        <v>69.737632685760062</v>
      </c>
      <c r="AG6" s="477">
        <f t="shared" si="4"/>
        <v>71.760464650510713</v>
      </c>
      <c r="AH6" s="479">
        <f t="shared" ref="AH6:AH11" si="5">AVERAGE(AD6:AG6)</f>
        <v>70.887158672140984</v>
      </c>
      <c r="AI6" s="463">
        <v>4993</v>
      </c>
    </row>
    <row r="7" spans="2:35" ht="16" thickBot="1">
      <c r="B7" s="32" t="s">
        <v>60</v>
      </c>
      <c r="C7" s="133" t="s">
        <v>62</v>
      </c>
      <c r="D7" s="434">
        <v>3210.8333299999999</v>
      </c>
      <c r="E7" s="435">
        <v>3353.9166700000001</v>
      </c>
      <c r="F7" s="435">
        <v>3651.1666700000001</v>
      </c>
      <c r="G7" s="436">
        <v>4477.9166699999996</v>
      </c>
      <c r="H7" s="473">
        <v>4685</v>
      </c>
      <c r="I7" t="s">
        <v>112</v>
      </c>
      <c r="J7" s="32" t="s">
        <v>61</v>
      </c>
      <c r="K7" s="133" t="s">
        <v>65</v>
      </c>
      <c r="L7" s="446">
        <v>4929.6666699999996</v>
      </c>
      <c r="M7" s="447">
        <v>5216.3333300000004</v>
      </c>
      <c r="N7" s="447">
        <v>5364.0833300000004</v>
      </c>
      <c r="O7" s="448">
        <v>5365.8333300000004</v>
      </c>
      <c r="P7" s="470">
        <v>5999</v>
      </c>
      <c r="S7" s="32" t="s">
        <v>60</v>
      </c>
      <c r="T7" s="133" t="s">
        <v>62</v>
      </c>
      <c r="U7" s="479">
        <f>D7/$H$7*100</f>
        <v>68.53432934898612</v>
      </c>
      <c r="V7" s="477">
        <f t="shared" ref="V7:X7" si="6">E7/$H$7*100</f>
        <v>71.588402774813233</v>
      </c>
      <c r="W7" s="477">
        <f t="shared" si="6"/>
        <v>77.933119957310566</v>
      </c>
      <c r="X7" s="477">
        <f t="shared" si="6"/>
        <v>95.579864887940218</v>
      </c>
      <c r="Y7" s="479">
        <f t="shared" si="3"/>
        <v>78.408929242262531</v>
      </c>
      <c r="Z7" s="484">
        <v>4685</v>
      </c>
      <c r="AA7" t="s">
        <v>112</v>
      </c>
      <c r="AB7" s="32" t="s">
        <v>61</v>
      </c>
      <c r="AC7" s="133" t="s">
        <v>65</v>
      </c>
      <c r="AD7" s="479">
        <f>L7/$P$7*100</f>
        <v>82.174806967827962</v>
      </c>
      <c r="AE7" s="477">
        <f t="shared" ref="AE7:AG7" si="7">M7/$P$7*100</f>
        <v>86.953381063510591</v>
      </c>
      <c r="AF7" s="477">
        <f t="shared" si="7"/>
        <v>89.416291548591445</v>
      </c>
      <c r="AG7" s="477">
        <f t="shared" si="7"/>
        <v>89.445463077179539</v>
      </c>
      <c r="AH7" s="479">
        <f t="shared" si="5"/>
        <v>86.997485664277377</v>
      </c>
      <c r="AI7" s="484">
        <v>5999</v>
      </c>
    </row>
    <row r="8" spans="2:35" ht="16" thickBot="1">
      <c r="B8" s="32" t="s">
        <v>60</v>
      </c>
      <c r="C8" s="133" t="s">
        <v>64</v>
      </c>
      <c r="D8" s="434">
        <v>3342.8333299999999</v>
      </c>
      <c r="E8" s="435">
        <v>3428.6666700000001</v>
      </c>
      <c r="F8" s="435">
        <v>3507.9166700000001</v>
      </c>
      <c r="G8" s="436">
        <v>3707.75</v>
      </c>
      <c r="H8" s="473">
        <v>4239</v>
      </c>
      <c r="J8" s="33" t="s">
        <v>61</v>
      </c>
      <c r="K8" s="133" t="s">
        <v>66</v>
      </c>
      <c r="L8" s="446">
        <v>5016.5</v>
      </c>
      <c r="M8" s="447">
        <v>4910.0833300000004</v>
      </c>
      <c r="N8" s="447">
        <v>4862.75</v>
      </c>
      <c r="O8" s="448">
        <v>4997.9166699999996</v>
      </c>
      <c r="P8" s="470">
        <v>6232</v>
      </c>
      <c r="S8" s="32" t="s">
        <v>60</v>
      </c>
      <c r="T8" s="133" t="s">
        <v>64</v>
      </c>
      <c r="U8" s="479">
        <f>D8/$H$8*100</f>
        <v>78.859007548950217</v>
      </c>
      <c r="V8" s="477">
        <f t="shared" ref="V8:X8" si="8">E8/$H$8*100</f>
        <v>80.883856334041042</v>
      </c>
      <c r="W8" s="477">
        <f t="shared" si="8"/>
        <v>82.753401037980652</v>
      </c>
      <c r="X8" s="477">
        <f t="shared" si="8"/>
        <v>87.467563104505771</v>
      </c>
      <c r="Y8" s="479">
        <f t="shared" si="3"/>
        <v>82.490957006369413</v>
      </c>
      <c r="Z8" s="484">
        <v>4239</v>
      </c>
      <c r="AB8" s="33" t="s">
        <v>61</v>
      </c>
      <c r="AC8" s="133" t="s">
        <v>66</v>
      </c>
      <c r="AD8" s="479">
        <f>L8/$P$8*100</f>
        <v>80.495827984595635</v>
      </c>
      <c r="AE8" s="477">
        <f t="shared" ref="AE8:AG8" si="9">M8/$P$8*100</f>
        <v>78.788243421052641</v>
      </c>
      <c r="AF8" s="477">
        <f t="shared" si="9"/>
        <v>78.028722721437731</v>
      </c>
      <c r="AG8" s="477">
        <f t="shared" si="9"/>
        <v>80.197635911424896</v>
      </c>
      <c r="AH8" s="479">
        <f t="shared" si="5"/>
        <v>79.377607509627722</v>
      </c>
      <c r="AI8" s="484">
        <v>6232</v>
      </c>
    </row>
    <row r="9" spans="2:35" ht="16" thickBot="1">
      <c r="B9" s="33" t="s">
        <v>60</v>
      </c>
      <c r="C9" s="133" t="s">
        <v>67</v>
      </c>
      <c r="D9" s="437">
        <v>4644</v>
      </c>
      <c r="E9" s="490">
        <v>4773</v>
      </c>
      <c r="F9" s="441"/>
      <c r="G9" s="442"/>
      <c r="H9" s="473">
        <v>5521</v>
      </c>
      <c r="I9" s="214" t="s">
        <v>118</v>
      </c>
      <c r="J9" s="32" t="s">
        <v>61</v>
      </c>
      <c r="K9" s="133" t="s">
        <v>69</v>
      </c>
      <c r="L9" s="449">
        <v>4463.5716670000002</v>
      </c>
      <c r="M9" s="450">
        <v>4471.875</v>
      </c>
      <c r="N9" s="450">
        <v>4435.1283329999997</v>
      </c>
      <c r="O9" s="451">
        <v>4619.3916669999999</v>
      </c>
      <c r="P9" s="470">
        <v>5660</v>
      </c>
      <c r="S9" s="33" t="s">
        <v>60</v>
      </c>
      <c r="T9" s="133" t="s">
        <v>67</v>
      </c>
      <c r="U9" s="479">
        <f>D9/$H$9*100</f>
        <v>84.115196522369146</v>
      </c>
      <c r="V9" s="477">
        <f t="shared" ref="V9" si="10">E9/$H$9*100</f>
        <v>86.45172975910161</v>
      </c>
      <c r="W9" s="477"/>
      <c r="X9" s="477"/>
      <c r="Y9" s="479">
        <f t="shared" si="3"/>
        <v>85.283463140735378</v>
      </c>
      <c r="Z9" s="484">
        <v>5521</v>
      </c>
      <c r="AA9" s="214" t="s">
        <v>118</v>
      </c>
      <c r="AB9" s="32" t="s">
        <v>61</v>
      </c>
      <c r="AC9" s="133" t="s">
        <v>69</v>
      </c>
      <c r="AD9" s="479">
        <f>L9/$P$9*100</f>
        <v>78.861690229681983</v>
      </c>
      <c r="AE9" s="477">
        <f t="shared" ref="AE9:AG9" si="11">M9/$P$9*100</f>
        <v>79.008392226148402</v>
      </c>
      <c r="AF9" s="477">
        <f t="shared" si="11"/>
        <v>78.359157826855125</v>
      </c>
      <c r="AG9" s="477">
        <f t="shared" si="11"/>
        <v>81.614693763250884</v>
      </c>
      <c r="AH9" s="479">
        <f t="shared" si="5"/>
        <v>79.460983511484102</v>
      </c>
      <c r="AI9" s="484">
        <v>5660</v>
      </c>
    </row>
    <row r="10" spans="2:35" ht="16" thickBot="1">
      <c r="B10" s="32" t="s">
        <v>60</v>
      </c>
      <c r="C10" s="133" t="s">
        <v>68</v>
      </c>
      <c r="D10" s="434">
        <v>4049.5</v>
      </c>
      <c r="E10" s="435">
        <v>4200.8333300000004</v>
      </c>
      <c r="F10" s="435">
        <v>4284.1666699999996</v>
      </c>
      <c r="G10" s="436">
        <v>4806.4166699999996</v>
      </c>
      <c r="H10" s="473">
        <v>5106</v>
      </c>
      <c r="I10" t="s">
        <v>198</v>
      </c>
      <c r="J10" s="32" t="s">
        <v>61</v>
      </c>
      <c r="K10" s="133" t="s">
        <v>70</v>
      </c>
      <c r="L10" s="446">
        <v>4004.5916699999998</v>
      </c>
      <c r="M10" s="447">
        <v>3879.7766700000002</v>
      </c>
      <c r="N10" s="447"/>
      <c r="O10" s="448">
        <v>4041.25</v>
      </c>
      <c r="P10" s="470">
        <v>4194</v>
      </c>
      <c r="S10" s="32" t="s">
        <v>60</v>
      </c>
      <c r="T10" s="133" t="s">
        <v>68</v>
      </c>
      <c r="U10" s="479">
        <f>D10/$H$10*100</f>
        <v>79.308656482569532</v>
      </c>
      <c r="V10" s="477">
        <f t="shared" ref="V10:X10" si="12">E10/$H$10*100</f>
        <v>82.272489815902873</v>
      </c>
      <c r="W10" s="477">
        <f t="shared" si="12"/>
        <v>83.904556795926354</v>
      </c>
      <c r="X10" s="477">
        <f t="shared" si="12"/>
        <v>94.132719741480614</v>
      </c>
      <c r="Y10" s="479">
        <f t="shared" si="3"/>
        <v>84.904605708969839</v>
      </c>
      <c r="Z10" s="484">
        <v>5106</v>
      </c>
      <c r="AA10" t="s">
        <v>198</v>
      </c>
      <c r="AB10" s="32" t="s">
        <v>61</v>
      </c>
      <c r="AC10" s="133" t="s">
        <v>70</v>
      </c>
      <c r="AD10" s="479">
        <f>L10/$P$10*100</f>
        <v>95.483826180257509</v>
      </c>
      <c r="AE10" s="477">
        <f>M10/$P$10*100</f>
        <v>92.507788984263243</v>
      </c>
      <c r="AF10" s="477"/>
      <c r="AG10" s="477">
        <f>O10/$P$10*100</f>
        <v>96.357892226990941</v>
      </c>
      <c r="AH10" s="479">
        <f t="shared" si="5"/>
        <v>94.783169130503893</v>
      </c>
      <c r="AI10" s="484">
        <v>4194</v>
      </c>
    </row>
    <row r="11" spans="2:35" ht="16" thickBot="1">
      <c r="B11" s="32" t="s">
        <v>60</v>
      </c>
      <c r="C11" s="133" t="s">
        <v>71</v>
      </c>
      <c r="D11" s="434">
        <v>4466.5509099999999</v>
      </c>
      <c r="E11" s="435">
        <v>4504.47</v>
      </c>
      <c r="F11" s="435">
        <v>4443.4442900000004</v>
      </c>
      <c r="G11" s="436">
        <v>5035.8328600000004</v>
      </c>
      <c r="H11" s="473">
        <v>5650</v>
      </c>
      <c r="J11" s="53" t="s">
        <v>61</v>
      </c>
      <c r="K11" s="133" t="s">
        <v>74</v>
      </c>
      <c r="L11" s="452">
        <v>3793.74</v>
      </c>
      <c r="M11" s="453">
        <v>3933.2183300000002</v>
      </c>
      <c r="N11" s="453">
        <v>3893.2033299999998</v>
      </c>
      <c r="O11" s="491">
        <v>3716.4483300000002</v>
      </c>
      <c r="P11" s="470">
        <v>5255</v>
      </c>
      <c r="S11" s="32" t="s">
        <v>60</v>
      </c>
      <c r="T11" s="133" t="s">
        <v>71</v>
      </c>
      <c r="U11" s="479">
        <f>D11/$H$11*100</f>
        <v>79.053998407079646</v>
      </c>
      <c r="V11" s="477">
        <f t="shared" ref="V11:X11" si="13">E11/$H$11*100</f>
        <v>79.725132743362835</v>
      </c>
      <c r="W11" s="477">
        <f t="shared" si="13"/>
        <v>78.645031681415929</v>
      </c>
      <c r="X11" s="477">
        <f t="shared" si="13"/>
        <v>89.129785132743365</v>
      </c>
      <c r="Y11" s="479">
        <f t="shared" si="3"/>
        <v>81.638486991150444</v>
      </c>
      <c r="Z11" s="484">
        <v>5650</v>
      </c>
      <c r="AB11" s="53" t="s">
        <v>61</v>
      </c>
      <c r="AC11" s="133" t="s">
        <v>74</v>
      </c>
      <c r="AD11" s="480">
        <f>L11/$P$11*100</f>
        <v>72.192959086584196</v>
      </c>
      <c r="AE11" s="481">
        <f t="shared" ref="AE11:AG11" si="14">M11/$P$11*100</f>
        <v>74.8471613701237</v>
      </c>
      <c r="AF11" s="481">
        <f t="shared" si="14"/>
        <v>74.085696098953377</v>
      </c>
      <c r="AG11" s="481">
        <f t="shared" si="14"/>
        <v>70.722137583254053</v>
      </c>
      <c r="AH11" s="480">
        <f t="shared" si="5"/>
        <v>72.961988534728832</v>
      </c>
      <c r="AI11" s="485">
        <v>5255</v>
      </c>
    </row>
    <row r="12" spans="2:35" ht="16" thickBot="1">
      <c r="B12" s="32" t="s">
        <v>60</v>
      </c>
      <c r="C12" s="133" t="s">
        <v>72</v>
      </c>
      <c r="D12" s="434">
        <v>4397.03143</v>
      </c>
      <c r="E12" s="435">
        <v>4191.7700000000004</v>
      </c>
      <c r="F12" s="435">
        <v>3993.9916699999999</v>
      </c>
      <c r="G12" s="436">
        <v>4437.0716700000003</v>
      </c>
      <c r="H12" s="473">
        <v>5041</v>
      </c>
      <c r="K12" s="16" t="s">
        <v>76</v>
      </c>
      <c r="L12" s="179">
        <f>AVERAGE(L3:L11)</f>
        <v>4288.6488895714283</v>
      </c>
      <c r="M12" s="179">
        <f t="shared" ref="M12:O12" si="15">AVERAGE(M3:M11)</f>
        <v>4327.9370557142856</v>
      </c>
      <c r="N12" s="179">
        <f t="shared" si="15"/>
        <v>4416.5413871666669</v>
      </c>
      <c r="O12" s="179">
        <f t="shared" si="15"/>
        <v>4453.3938095714284</v>
      </c>
      <c r="P12" s="179">
        <f t="shared" ref="P12" si="16">AVERAGE(P3:P11)</f>
        <v>5396</v>
      </c>
      <c r="S12" s="32" t="s">
        <v>60</v>
      </c>
      <c r="T12" s="133" t="s">
        <v>72</v>
      </c>
      <c r="U12" s="479">
        <f>D12/$H$12*100</f>
        <v>87.225380480063478</v>
      </c>
      <c r="V12" s="477">
        <f t="shared" ref="V12:X12" si="17">E12/$H$12*100</f>
        <v>83.153540964094432</v>
      </c>
      <c r="W12" s="477">
        <f t="shared" si="17"/>
        <v>79.230146201150561</v>
      </c>
      <c r="X12" s="477">
        <f t="shared" si="17"/>
        <v>88.01967208887126</v>
      </c>
      <c r="Y12" s="479">
        <f t="shared" si="3"/>
        <v>84.407184933544926</v>
      </c>
      <c r="Z12" s="484">
        <v>5041</v>
      </c>
      <c r="AC12" s="16" t="s">
        <v>76</v>
      </c>
      <c r="AD12" s="179">
        <f>AVERAGE(AD3:AD11)</f>
        <v>79.819863987246094</v>
      </c>
      <c r="AE12" s="179">
        <f t="shared" ref="AE12:AI12" si="18">AVERAGE(AE3:AE11)</f>
        <v>80.40276890898005</v>
      </c>
      <c r="AF12" s="179">
        <f t="shared" si="18"/>
        <v>78.611028690782931</v>
      </c>
      <c r="AG12" s="179">
        <f t="shared" si="18"/>
        <v>82.752508369432192</v>
      </c>
      <c r="AH12" s="179">
        <f t="shared" ref="AH12" si="19">AVERAGE(AH3:AH11)</f>
        <v>80.974118933386052</v>
      </c>
      <c r="AI12" s="179">
        <f t="shared" si="18"/>
        <v>5396</v>
      </c>
    </row>
    <row r="13" spans="2:35" ht="16" thickBot="1">
      <c r="B13" s="53" t="s">
        <v>60</v>
      </c>
      <c r="C13" s="133" t="s">
        <v>73</v>
      </c>
      <c r="D13" s="438">
        <v>4098.3130000000001</v>
      </c>
      <c r="E13" s="439">
        <v>4175.6930000000002</v>
      </c>
      <c r="F13" s="439">
        <v>4207.8469999999998</v>
      </c>
      <c r="G13" s="440">
        <v>4509.24</v>
      </c>
      <c r="H13" s="473">
        <v>5163</v>
      </c>
      <c r="K13" s="16" t="s">
        <v>13</v>
      </c>
      <c r="L13" s="179">
        <f>STDEVA(L3:L11)</f>
        <v>1949.455712510442</v>
      </c>
      <c r="M13" s="179">
        <f t="shared" ref="M13:O13" si="20">STDEVA(M3:M11)</f>
        <v>1978.7162420814398</v>
      </c>
      <c r="N13" s="179">
        <f t="shared" si="20"/>
        <v>2121.50096683416</v>
      </c>
      <c r="O13" s="179">
        <f t="shared" si="20"/>
        <v>2050.4653571996796</v>
      </c>
      <c r="P13" s="179">
        <f t="shared" ref="P13" si="21">STDEVA(P3:P11)</f>
        <v>2450.8664000942836</v>
      </c>
      <c r="S13" s="53" t="s">
        <v>60</v>
      </c>
      <c r="T13" s="133" t="s">
        <v>73</v>
      </c>
      <c r="U13" s="480">
        <f>D13/$H$13*100</f>
        <v>79.378520240170445</v>
      </c>
      <c r="V13" s="481">
        <f t="shared" ref="V13:X13" si="22">E13/$H$13*100</f>
        <v>80.87726128220028</v>
      </c>
      <c r="W13" s="481">
        <f t="shared" si="22"/>
        <v>81.50003873716831</v>
      </c>
      <c r="X13" s="481">
        <f t="shared" si="22"/>
        <v>87.337594421847768</v>
      </c>
      <c r="Y13" s="480">
        <f t="shared" si="3"/>
        <v>82.273353670346708</v>
      </c>
      <c r="Z13" s="485">
        <v>5163</v>
      </c>
      <c r="AC13" s="16" t="s">
        <v>13</v>
      </c>
      <c r="AD13" s="179">
        <f>STDEVA(AD3:AD11)</f>
        <v>35.863097380026744</v>
      </c>
      <c r="AE13" s="179">
        <f t="shared" ref="AE13:AI13" si="23">STDEVA(AE3:AE11)</f>
        <v>36.029597015134392</v>
      </c>
      <c r="AF13" s="179">
        <f t="shared" si="23"/>
        <v>36.834885440042143</v>
      </c>
      <c r="AG13" s="179">
        <f t="shared" si="23"/>
        <v>37.41133428898641</v>
      </c>
      <c r="AH13" s="179">
        <f t="shared" ref="AH13" si="24">STDEVA(AH3:AH11)</f>
        <v>36.399044482637557</v>
      </c>
      <c r="AI13" s="179">
        <f t="shared" si="23"/>
        <v>2450.8664000942836</v>
      </c>
    </row>
    <row r="14" spans="2:35">
      <c r="C14" s="16" t="s">
        <v>76</v>
      </c>
      <c r="D14" s="179">
        <f>AVERAGE(D5:D13)</f>
        <v>4216.0624444444447</v>
      </c>
      <c r="E14" s="179">
        <f>AVERAGE(E5:E8,E10:E13)</f>
        <v>4241.1526112500005</v>
      </c>
      <c r="F14" s="179">
        <f t="shared" ref="F14:G14" si="25">AVERAGE(F5:F8,F10:F13)</f>
        <v>4315.92599625</v>
      </c>
      <c r="G14" s="179">
        <f t="shared" si="25"/>
        <v>4742.1014012499991</v>
      </c>
      <c r="H14" s="179">
        <f t="shared" ref="H14" si="26">AVERAGE(H5:H8,H10:H13)</f>
        <v>5185</v>
      </c>
      <c r="K14" s="16" t="s">
        <v>14</v>
      </c>
      <c r="L14" s="179">
        <f>L13/SQRT(COUNT(L3:L11))</f>
        <v>736.82500103383677</v>
      </c>
      <c r="M14" s="179">
        <f t="shared" ref="M14:O14" si="27">M13/SQRT(COUNT(M3:M11))</f>
        <v>747.88444167310979</v>
      </c>
      <c r="N14" s="179">
        <f t="shared" si="27"/>
        <v>866.0991429274784</v>
      </c>
      <c r="O14" s="179">
        <f t="shared" si="27"/>
        <v>775.00305815765375</v>
      </c>
      <c r="P14" s="179">
        <f t="shared" ref="P14" si="28">P13/SQRT(COUNT(P3:P11))</f>
        <v>926.34042732765772</v>
      </c>
      <c r="T14" s="16" t="s">
        <v>76</v>
      </c>
      <c r="U14" s="179">
        <f>AVERAGE(U5:U13)</f>
        <v>80.488090589620626</v>
      </c>
      <c r="V14" s="179">
        <f>AVERAGE(V5:V8,V10:V13)</f>
        <v>81.524600839676808</v>
      </c>
      <c r="W14" s="179">
        <f t="shared" ref="W14:Z14" si="29">AVERAGE(W5:W8,W10:W13)</f>
        <v>82.989837097692757</v>
      </c>
      <c r="X14" s="179">
        <f t="shared" si="29"/>
        <v>91.336979956849859</v>
      </c>
      <c r="Y14" s="179">
        <f t="shared" ref="Y14" si="30">AVERAGE(Y5:Y8,Y10:Y13)</f>
        <v>83.971530060561633</v>
      </c>
      <c r="Z14" s="179">
        <f t="shared" si="29"/>
        <v>5185</v>
      </c>
      <c r="AC14" s="16" t="s">
        <v>14</v>
      </c>
      <c r="AD14" s="179">
        <f>AD13/SQRT(COUNT(AD3:AD11))</f>
        <v>13.554976701720406</v>
      </c>
      <c r="AE14" s="179">
        <f t="shared" ref="AE14:AI14" si="31">AE13/SQRT(COUNT(AE3:AE11))</f>
        <v>13.617907648560097</v>
      </c>
      <c r="AF14" s="179">
        <f t="shared" si="31"/>
        <v>15.037779010329444</v>
      </c>
      <c r="AG14" s="179">
        <f t="shared" si="31"/>
        <v>14.14015524910878</v>
      </c>
      <c r="AH14" s="179">
        <f t="shared" ref="AH14" si="32">AH13/SQRT(COUNT(AH3:AH11))</f>
        <v>13.757545665919523</v>
      </c>
      <c r="AI14" s="179">
        <f t="shared" si="31"/>
        <v>926.34042732765772</v>
      </c>
    </row>
    <row r="15" spans="2:35">
      <c r="C15" s="16" t="s">
        <v>13</v>
      </c>
      <c r="D15" s="179">
        <f>STDEVA(D5:D13)</f>
        <v>607.83240906752155</v>
      </c>
      <c r="E15" s="179">
        <f>STDEVA(E5:E8,E10:E13)</f>
        <v>638.27503275946776</v>
      </c>
      <c r="F15" s="179">
        <f t="shared" ref="F15:G15" si="33">STDEVA(F5:F8,F10:F13)</f>
        <v>651.70470451032224</v>
      </c>
      <c r="G15" s="179">
        <f t="shared" si="33"/>
        <v>601.32601976979299</v>
      </c>
      <c r="H15" s="179">
        <f t="shared" ref="H15" si="34">STDEVA(H5:H8,H10:H13)</f>
        <v>555.9378176944407</v>
      </c>
      <c r="T15" s="16" t="s">
        <v>13</v>
      </c>
      <c r="U15" s="179">
        <f>STDEVA(U5:U13)</f>
        <v>5.395869477486559</v>
      </c>
      <c r="V15" s="179">
        <f>STDEVA(V5:V8,V10:V13)</f>
        <v>4.8765952499100136</v>
      </c>
      <c r="W15" s="179">
        <f t="shared" ref="W15:Z15" si="35">STDEVA(W5:W8,W10:W13)</f>
        <v>4.9433961747989956</v>
      </c>
      <c r="X15" s="179">
        <f t="shared" si="35"/>
        <v>3.7029786764849675</v>
      </c>
      <c r="Y15" s="179">
        <f t="shared" ref="Y15" si="36">STDEVA(Y5:Y8,Y10:Y13)</f>
        <v>3.6370505842824934</v>
      </c>
      <c r="Z15" s="179">
        <f t="shared" si="35"/>
        <v>555.9378176944407</v>
      </c>
    </row>
    <row r="16" spans="2:35">
      <c r="C16" s="16" t="s">
        <v>14</v>
      </c>
      <c r="D16" s="179">
        <f>D15/SQRT(COUNT(D5:D13))</f>
        <v>202.61080302250718</v>
      </c>
      <c r="E16" s="179">
        <f t="shared" ref="E16:G16" si="37">E15/SQRT(COUNT(E5:E13))</f>
        <v>212.75834425315591</v>
      </c>
      <c r="F16" s="179">
        <f t="shared" si="37"/>
        <v>230.41240794521201</v>
      </c>
      <c r="G16" s="179">
        <f t="shared" si="37"/>
        <v>212.60085314156828</v>
      </c>
      <c r="H16" s="179">
        <f t="shared" ref="H16" si="38">H15/SQRT(COUNT(H5:H13))</f>
        <v>185.3126058981469</v>
      </c>
      <c r="T16" s="16" t="s">
        <v>14</v>
      </c>
      <c r="U16" s="179">
        <f>U15/SQRT(COUNT(U5:U13))</f>
        <v>1.7986231591621864</v>
      </c>
      <c r="V16" s="179">
        <f t="shared" ref="V16:Z16" si="39">V15/SQRT(COUNT(V5:V13))</f>
        <v>1.6255317499700046</v>
      </c>
      <c r="W16" s="179">
        <f t="shared" si="39"/>
        <v>1.7477544786460046</v>
      </c>
      <c r="X16" s="179">
        <f t="shared" si="39"/>
        <v>1.3092006663658535</v>
      </c>
      <c r="Y16" s="179">
        <f t="shared" ref="Y16" si="40">Y15/SQRT(COUNT(Y5:Y13))</f>
        <v>1.2123501947608311</v>
      </c>
      <c r="Z16" s="179">
        <f t="shared" si="39"/>
        <v>185.3126058981469</v>
      </c>
    </row>
    <row r="18" spans="2:36">
      <c r="B18" t="s">
        <v>196</v>
      </c>
      <c r="S18" t="s">
        <v>196</v>
      </c>
    </row>
    <row r="19" spans="2:36">
      <c r="B19" t="s">
        <v>205</v>
      </c>
      <c r="S19" t="s">
        <v>197</v>
      </c>
    </row>
    <row r="20" spans="2:36">
      <c r="B20" t="s">
        <v>199</v>
      </c>
      <c r="S20" t="s">
        <v>199</v>
      </c>
    </row>
    <row r="21" spans="2:36" ht="16" thickBot="1"/>
    <row r="22" spans="2:36" ht="16" thickBot="1">
      <c r="B22" s="1331" t="s">
        <v>50</v>
      </c>
      <c r="C22" s="1332"/>
      <c r="J22" s="1331" t="s">
        <v>50</v>
      </c>
      <c r="K22" s="1332"/>
      <c r="S22" s="1331" t="s">
        <v>50</v>
      </c>
      <c r="T22" s="1332"/>
      <c r="AB22" s="1331" t="s">
        <v>50</v>
      </c>
      <c r="AC22" s="1332"/>
    </row>
    <row r="23" spans="2:36">
      <c r="B23" s="1344" t="s">
        <v>77</v>
      </c>
      <c r="C23" s="1391"/>
      <c r="D23" s="196" t="s">
        <v>138</v>
      </c>
      <c r="E23" s="196" t="s">
        <v>138</v>
      </c>
      <c r="F23" s="196" t="s">
        <v>138</v>
      </c>
      <c r="G23" s="196" t="s">
        <v>138</v>
      </c>
      <c r="H23" s="468" t="s">
        <v>19</v>
      </c>
      <c r="J23" s="1344" t="s">
        <v>77</v>
      </c>
      <c r="K23" s="1391"/>
      <c r="L23" s="196" t="s">
        <v>138</v>
      </c>
      <c r="M23" s="196" t="s">
        <v>138</v>
      </c>
      <c r="N23" s="196" t="s">
        <v>138</v>
      </c>
      <c r="O23" s="196" t="s">
        <v>138</v>
      </c>
      <c r="P23" s="468" t="s">
        <v>19</v>
      </c>
      <c r="S23" s="1344" t="s">
        <v>77</v>
      </c>
      <c r="T23" s="1391"/>
      <c r="U23" s="196" t="s">
        <v>138</v>
      </c>
      <c r="V23" s="196" t="s">
        <v>138</v>
      </c>
      <c r="W23" s="196" t="s">
        <v>138</v>
      </c>
      <c r="X23" s="196" t="s">
        <v>138</v>
      </c>
      <c r="Y23" s="196" t="s">
        <v>138</v>
      </c>
      <c r="Z23" s="468" t="s">
        <v>19</v>
      </c>
      <c r="AB23" s="1344" t="s">
        <v>77</v>
      </c>
      <c r="AC23" s="1391"/>
      <c r="AD23" s="196" t="s">
        <v>138</v>
      </c>
      <c r="AE23" s="196" t="s">
        <v>138</v>
      </c>
      <c r="AF23" s="196" t="s">
        <v>138</v>
      </c>
      <c r="AG23" s="196" t="s">
        <v>138</v>
      </c>
      <c r="AH23" s="196" t="s">
        <v>138</v>
      </c>
      <c r="AI23" s="468" t="s">
        <v>19</v>
      </c>
    </row>
    <row r="24" spans="2:36" ht="16" thickBot="1">
      <c r="B24" s="1336"/>
      <c r="C24" s="1392"/>
      <c r="D24" s="213" t="s">
        <v>135</v>
      </c>
      <c r="E24" s="430" t="s">
        <v>136</v>
      </c>
      <c r="F24" s="426" t="s">
        <v>193</v>
      </c>
      <c r="G24" s="430" t="s">
        <v>194</v>
      </c>
      <c r="H24" s="469" t="s">
        <v>139</v>
      </c>
      <c r="J24" s="1336"/>
      <c r="K24" s="1392"/>
      <c r="L24" s="213" t="s">
        <v>135</v>
      </c>
      <c r="M24" s="430" t="s">
        <v>136</v>
      </c>
      <c r="N24" s="426" t="s">
        <v>193</v>
      </c>
      <c r="O24" s="430" t="s">
        <v>194</v>
      </c>
      <c r="P24" s="469" t="s">
        <v>139</v>
      </c>
      <c r="S24" s="1336"/>
      <c r="T24" s="1392"/>
      <c r="U24" s="213" t="s">
        <v>135</v>
      </c>
      <c r="V24" s="430" t="s">
        <v>136</v>
      </c>
      <c r="W24" s="426" t="s">
        <v>193</v>
      </c>
      <c r="X24" s="430" t="s">
        <v>194</v>
      </c>
      <c r="Y24" s="430" t="s">
        <v>76</v>
      </c>
      <c r="Z24" s="483" t="s">
        <v>139</v>
      </c>
      <c r="AB24" s="1336"/>
      <c r="AC24" s="1392"/>
      <c r="AD24" s="213" t="s">
        <v>135</v>
      </c>
      <c r="AE24" s="430" t="s">
        <v>136</v>
      </c>
      <c r="AF24" s="426" t="s">
        <v>193</v>
      </c>
      <c r="AG24" s="430" t="s">
        <v>194</v>
      </c>
      <c r="AH24" s="430" t="s">
        <v>76</v>
      </c>
      <c r="AI24" s="483" t="s">
        <v>139</v>
      </c>
    </row>
    <row r="25" spans="2:36" ht="16" thickBot="1">
      <c r="B25" s="32" t="s">
        <v>60</v>
      </c>
      <c r="C25" s="133" t="s">
        <v>57</v>
      </c>
      <c r="D25" s="457">
        <v>5119.6666699999996</v>
      </c>
      <c r="E25" s="458">
        <v>5392.75</v>
      </c>
      <c r="F25" s="458">
        <v>5455.1111099999998</v>
      </c>
      <c r="G25" s="467">
        <v>5605.6666699999996</v>
      </c>
      <c r="H25" s="470">
        <v>6107</v>
      </c>
      <c r="J25" s="89" t="s">
        <v>61</v>
      </c>
      <c r="K25" s="133" t="s">
        <v>58</v>
      </c>
      <c r="L25" s="457">
        <v>4296.3636399999996</v>
      </c>
      <c r="M25" s="458">
        <v>4412.1000000000004</v>
      </c>
      <c r="N25" s="459"/>
      <c r="O25" s="460"/>
      <c r="P25" s="470">
        <v>5337</v>
      </c>
      <c r="Q25" t="s">
        <v>112</v>
      </c>
      <c r="S25" s="32" t="s">
        <v>60</v>
      </c>
      <c r="T25" s="133" t="s">
        <v>57</v>
      </c>
      <c r="U25" s="476">
        <f>D25/$H$25*100</f>
        <v>83.832760275094145</v>
      </c>
      <c r="V25" s="478">
        <f t="shared" ref="V25:X25" si="41">E25/$H$25*100</f>
        <v>88.304404781398389</v>
      </c>
      <c r="W25" s="478">
        <f t="shared" si="41"/>
        <v>89.325546258392009</v>
      </c>
      <c r="X25" s="478">
        <f t="shared" si="41"/>
        <v>91.790841165875207</v>
      </c>
      <c r="Y25" s="476">
        <f>AVERAGE(U25:X25)</f>
        <v>88.313388120189927</v>
      </c>
      <c r="Z25" s="486">
        <v>6107</v>
      </c>
      <c r="AB25" s="89" t="s">
        <v>61</v>
      </c>
      <c r="AC25" s="133" t="s">
        <v>58</v>
      </c>
      <c r="AD25" s="476">
        <f>L25/$P$25*100</f>
        <v>80.501473486977687</v>
      </c>
      <c r="AE25" s="478">
        <f>M25/$P$25*100</f>
        <v>82.67003934794829</v>
      </c>
      <c r="AF25" s="478"/>
      <c r="AG25" s="478"/>
      <c r="AH25" s="476">
        <f>AVERAGE(AD25:AG25)</f>
        <v>81.585756417462989</v>
      </c>
      <c r="AI25" s="486">
        <v>5337</v>
      </c>
      <c r="AJ25" t="s">
        <v>112</v>
      </c>
    </row>
    <row r="26" spans="2:36" ht="16" thickBot="1">
      <c r="B26" s="32" t="s">
        <v>60</v>
      </c>
      <c r="C26" s="134" t="s">
        <v>59</v>
      </c>
      <c r="D26" s="461">
        <v>4047.4166700000001</v>
      </c>
      <c r="E26" s="462">
        <v>4180.25</v>
      </c>
      <c r="F26" s="462">
        <v>4538.8333300000004</v>
      </c>
      <c r="G26" s="463">
        <v>5238.6666699999996</v>
      </c>
      <c r="H26" s="471">
        <v>5188</v>
      </c>
      <c r="J26" s="32" t="s">
        <v>61</v>
      </c>
      <c r="K26" s="133" t="s">
        <v>63</v>
      </c>
      <c r="L26" s="461">
        <v>3649.4166700000001</v>
      </c>
      <c r="M26" s="462">
        <v>3919.5</v>
      </c>
      <c r="N26" s="462">
        <v>4176.5</v>
      </c>
      <c r="O26" s="463">
        <v>4836.3333300000004</v>
      </c>
      <c r="P26" s="471">
        <v>5163</v>
      </c>
      <c r="S26" s="32" t="s">
        <v>60</v>
      </c>
      <c r="T26" s="134" t="s">
        <v>59</v>
      </c>
      <c r="U26" s="479">
        <f>D26/$H$26*100</f>
        <v>78.014970508866625</v>
      </c>
      <c r="V26" s="477">
        <f t="shared" ref="V26:W26" si="42">E26/$H$26*100</f>
        <v>80.575366229760988</v>
      </c>
      <c r="W26" s="477">
        <f t="shared" si="42"/>
        <v>87.487149768697009</v>
      </c>
      <c r="X26" s="477">
        <f>G26/$H$26*100</f>
        <v>100.97661276021587</v>
      </c>
      <c r="Y26" s="479">
        <f t="shared" ref="Y26:Y33" si="43">AVERAGE(U26:X26)</f>
        <v>86.763524816885123</v>
      </c>
      <c r="Z26" s="463">
        <v>5188</v>
      </c>
      <c r="AB26" s="32" t="s">
        <v>61</v>
      </c>
      <c r="AC26" s="133" t="s">
        <v>63</v>
      </c>
      <c r="AD26" s="479">
        <f>L26/$P$26*100</f>
        <v>70.684033895022282</v>
      </c>
      <c r="AE26" s="477">
        <f t="shared" ref="AE26:AG26" si="44">M26/$P$26*100</f>
        <v>75.915165601394534</v>
      </c>
      <c r="AF26" s="477">
        <f t="shared" si="44"/>
        <v>80.892891729614576</v>
      </c>
      <c r="AG26" s="477">
        <f t="shared" si="44"/>
        <v>93.672929110981997</v>
      </c>
      <c r="AH26" s="479">
        <f t="shared" ref="AH26:AH31" si="45">AVERAGE(AD26:AG26)</f>
        <v>80.291255084253351</v>
      </c>
      <c r="AI26" s="463">
        <v>5163</v>
      </c>
    </row>
    <row r="27" spans="2:36" ht="16" thickBot="1">
      <c r="B27" s="32" t="s">
        <v>60</v>
      </c>
      <c r="C27" s="133" t="s">
        <v>62</v>
      </c>
      <c r="D27" s="461">
        <v>3333.1666700000001</v>
      </c>
      <c r="E27" s="462">
        <v>3185.0833299999999</v>
      </c>
      <c r="F27" s="462">
        <v>3340.1666700000001</v>
      </c>
      <c r="G27" s="463">
        <v>4219.4166699999996</v>
      </c>
      <c r="H27" s="470">
        <v>4677</v>
      </c>
      <c r="I27" s="283" t="s">
        <v>112</v>
      </c>
      <c r="J27" s="32" t="s">
        <v>61</v>
      </c>
      <c r="K27" s="133" t="s">
        <v>65</v>
      </c>
      <c r="L27" s="461">
        <v>5037.3333300000004</v>
      </c>
      <c r="M27" s="462">
        <v>5197.1666699999996</v>
      </c>
      <c r="N27" s="462">
        <v>5371.9166699999996</v>
      </c>
      <c r="O27" s="463">
        <v>5403.9166699999996</v>
      </c>
      <c r="P27" s="470">
        <v>5881</v>
      </c>
      <c r="S27" s="32" t="s">
        <v>60</v>
      </c>
      <c r="T27" s="133" t="s">
        <v>62</v>
      </c>
      <c r="U27" s="479">
        <f>D27/$H$27*100</f>
        <v>71.267194141543726</v>
      </c>
      <c r="V27" s="477">
        <f t="shared" ref="V27:X27" si="46">E27/$H$27*100</f>
        <v>68.10099059225999</v>
      </c>
      <c r="W27" s="477">
        <f t="shared" si="46"/>
        <v>71.41686273252084</v>
      </c>
      <c r="X27" s="477">
        <f t="shared" si="46"/>
        <v>90.216306820611493</v>
      </c>
      <c r="Y27" s="479">
        <f t="shared" si="43"/>
        <v>75.250338571734005</v>
      </c>
      <c r="Z27" s="484">
        <v>4677</v>
      </c>
      <c r="AA27" s="283" t="s">
        <v>112</v>
      </c>
      <c r="AB27" s="32" t="s">
        <v>61</v>
      </c>
      <c r="AC27" s="133" t="s">
        <v>65</v>
      </c>
      <c r="AD27" s="479">
        <f>L27/$P$27*100</f>
        <v>85.654367114436326</v>
      </c>
      <c r="AE27" s="477">
        <f t="shared" ref="AE27:AG27" si="47">M27/$P$27*100</f>
        <v>88.372158986566902</v>
      </c>
      <c r="AF27" s="477">
        <f t="shared" si="47"/>
        <v>91.343592416255731</v>
      </c>
      <c r="AG27" s="477">
        <f t="shared" si="47"/>
        <v>91.887717565039949</v>
      </c>
      <c r="AH27" s="479">
        <f t="shared" si="45"/>
        <v>89.314459020574731</v>
      </c>
      <c r="AI27" s="484">
        <v>5881</v>
      </c>
    </row>
    <row r="28" spans="2:36" ht="16" thickBot="1">
      <c r="B28" s="32" t="s">
        <v>60</v>
      </c>
      <c r="C28" s="133" t="s">
        <v>64</v>
      </c>
      <c r="D28" s="461">
        <v>3509.75</v>
      </c>
      <c r="E28" s="462">
        <v>3461.1666700000001</v>
      </c>
      <c r="F28" s="492">
        <v>3158.9090900000001</v>
      </c>
      <c r="G28" s="493">
        <v>3123.8333299999999</v>
      </c>
      <c r="H28" s="470">
        <v>4220</v>
      </c>
      <c r="J28" s="33" t="s">
        <v>61</v>
      </c>
      <c r="K28" s="133" t="s">
        <v>66</v>
      </c>
      <c r="L28" s="461">
        <v>4680.4166699999996</v>
      </c>
      <c r="M28" s="462">
        <v>4723</v>
      </c>
      <c r="N28" s="462">
        <v>4565.3333300000004</v>
      </c>
      <c r="O28" s="463">
        <v>4719.5833300000004</v>
      </c>
      <c r="P28" s="470">
        <v>5794</v>
      </c>
      <c r="S28" s="32" t="s">
        <v>60</v>
      </c>
      <c r="T28" s="133" t="s">
        <v>64</v>
      </c>
      <c r="U28" s="479">
        <f>D28/$H$28*100</f>
        <v>83.169431279620852</v>
      </c>
      <c r="V28" s="477">
        <f t="shared" ref="V28:X28" si="48">E28/$H$28*100</f>
        <v>82.018167535545032</v>
      </c>
      <c r="W28" s="477">
        <f t="shared" si="48"/>
        <v>74.855665639810425</v>
      </c>
      <c r="X28" s="477">
        <f t="shared" si="48"/>
        <v>74.024486492891</v>
      </c>
      <c r="Y28" s="479">
        <f t="shared" si="43"/>
        <v>78.516937736966824</v>
      </c>
      <c r="Z28" s="484">
        <v>4220</v>
      </c>
      <c r="AB28" s="33" t="s">
        <v>61</v>
      </c>
      <c r="AC28" s="133" t="s">
        <v>66</v>
      </c>
      <c r="AD28" s="479">
        <f>L28/$P$28*100</f>
        <v>80.780405074214698</v>
      </c>
      <c r="AE28" s="477">
        <f t="shared" ref="AE28:AG28" si="49">M28/$P$28*100</f>
        <v>81.515360717984123</v>
      </c>
      <c r="AF28" s="477">
        <f t="shared" si="49"/>
        <v>78.794154815326209</v>
      </c>
      <c r="AG28" s="477">
        <f t="shared" si="49"/>
        <v>81.456391612012439</v>
      </c>
      <c r="AH28" s="479">
        <f t="shared" si="45"/>
        <v>80.636578054884367</v>
      </c>
      <c r="AI28" s="484">
        <v>5794</v>
      </c>
    </row>
    <row r="29" spans="2:36" ht="16" thickBot="1">
      <c r="B29" s="33" t="s">
        <v>60</v>
      </c>
      <c r="C29" s="133" t="s">
        <v>67</v>
      </c>
      <c r="D29" s="461">
        <v>4384</v>
      </c>
      <c r="E29" s="462">
        <v>4606.75</v>
      </c>
      <c r="F29" s="489">
        <v>4428.7692299999999</v>
      </c>
      <c r="G29" s="463">
        <v>4761.0833300000004</v>
      </c>
      <c r="H29" s="470">
        <v>5389</v>
      </c>
      <c r="I29" s="214"/>
      <c r="J29" s="32" t="s">
        <v>61</v>
      </c>
      <c r="K29" s="133" t="s">
        <v>69</v>
      </c>
      <c r="L29" s="455"/>
      <c r="M29" s="462">
        <v>4372.5</v>
      </c>
      <c r="N29" s="462">
        <v>4297.24</v>
      </c>
      <c r="O29" s="463">
        <v>4385.75</v>
      </c>
      <c r="P29" s="470">
        <v>5601</v>
      </c>
      <c r="Q29" t="s">
        <v>118</v>
      </c>
      <c r="S29" s="33" t="s">
        <v>60</v>
      </c>
      <c r="T29" s="133" t="s">
        <v>67</v>
      </c>
      <c r="U29" s="479">
        <f>D29/$H$29*100</f>
        <v>81.350899981443675</v>
      </c>
      <c r="V29" s="477">
        <f t="shared" ref="V29:X29" si="50">E29/$H$29*100</f>
        <v>85.484319910929671</v>
      </c>
      <c r="W29" s="477">
        <f t="shared" si="50"/>
        <v>82.181652069029496</v>
      </c>
      <c r="X29" s="477">
        <f t="shared" si="50"/>
        <v>88.348178326220079</v>
      </c>
      <c r="Y29" s="479">
        <f t="shared" si="43"/>
        <v>84.34126257190573</v>
      </c>
      <c r="Z29" s="484">
        <v>5389</v>
      </c>
      <c r="AA29" s="214"/>
      <c r="AB29" s="32" t="s">
        <v>61</v>
      </c>
      <c r="AC29" s="133" t="s">
        <v>69</v>
      </c>
      <c r="AD29" s="479"/>
      <c r="AE29" s="477">
        <f t="shared" ref="AE29:AG29" si="51">M29/$P$29*100</f>
        <v>78.066416711301557</v>
      </c>
      <c r="AF29" s="477">
        <f t="shared" si="51"/>
        <v>76.72272808427067</v>
      </c>
      <c r="AG29" s="477">
        <f t="shared" si="51"/>
        <v>78.302981610426713</v>
      </c>
      <c r="AH29" s="479">
        <f t="shared" si="45"/>
        <v>77.697375468666309</v>
      </c>
      <c r="AI29" s="484">
        <v>5601</v>
      </c>
      <c r="AJ29" t="s">
        <v>118</v>
      </c>
    </row>
    <row r="30" spans="2:36" ht="16" thickBot="1">
      <c r="B30" s="32" t="s">
        <v>60</v>
      </c>
      <c r="C30" s="133" t="s">
        <v>68</v>
      </c>
      <c r="D30" s="461">
        <v>4220.0833300000004</v>
      </c>
      <c r="E30" s="462">
        <v>4416.6666699999996</v>
      </c>
      <c r="F30" s="462">
        <v>4498.4166699999996</v>
      </c>
      <c r="G30" s="463">
        <v>4821</v>
      </c>
      <c r="H30" s="470">
        <v>5068</v>
      </c>
      <c r="J30" s="32" t="s">
        <v>61</v>
      </c>
      <c r="K30" s="133" t="s">
        <v>70</v>
      </c>
      <c r="L30" s="461">
        <v>3393.4133299999999</v>
      </c>
      <c r="M30" s="462">
        <v>3630.58833</v>
      </c>
      <c r="N30" s="489">
        <v>3862.5436399999999</v>
      </c>
      <c r="O30" s="463">
        <v>4131.43833</v>
      </c>
      <c r="P30" s="470">
        <v>4485</v>
      </c>
      <c r="S30" s="32" t="s">
        <v>60</v>
      </c>
      <c r="T30" s="133" t="s">
        <v>68</v>
      </c>
      <c r="U30" s="479">
        <f>D30/$H$30*100</f>
        <v>83.269205406471997</v>
      </c>
      <c r="V30" s="477">
        <f t="shared" ref="V30:X30" si="52">E30/$H$30*100</f>
        <v>87.148118981846878</v>
      </c>
      <c r="W30" s="477">
        <f t="shared" si="52"/>
        <v>88.761181333859511</v>
      </c>
      <c r="X30" s="477">
        <f t="shared" si="52"/>
        <v>95.126282557221785</v>
      </c>
      <c r="Y30" s="479">
        <f t="shared" si="43"/>
        <v>88.576197069850039</v>
      </c>
      <c r="Z30" s="484">
        <v>5068</v>
      </c>
      <c r="AB30" s="32" t="s">
        <v>61</v>
      </c>
      <c r="AC30" s="133" t="s">
        <v>70</v>
      </c>
      <c r="AD30" s="479">
        <f>L30/$P$30*100</f>
        <v>75.661389743589737</v>
      </c>
      <c r="AE30" s="477">
        <f>M30/$P$30*100</f>
        <v>80.949572575250841</v>
      </c>
      <c r="AF30" s="477">
        <f>N30/$P$30*100</f>
        <v>86.12137435897435</v>
      </c>
      <c r="AG30" s="477">
        <f>O30/$P$30*100</f>
        <v>92.116796655518399</v>
      </c>
      <c r="AH30" s="479">
        <f t="shared" si="45"/>
        <v>83.712283333333332</v>
      </c>
      <c r="AI30" s="484">
        <v>4485</v>
      </c>
    </row>
    <row r="31" spans="2:36" ht="16" thickBot="1">
      <c r="B31" s="32" t="s">
        <v>60</v>
      </c>
      <c r="C31" s="133" t="s">
        <v>71</v>
      </c>
      <c r="D31" s="494">
        <v>4665.0600000000004</v>
      </c>
      <c r="E31" s="492">
        <v>4382.6583300000002</v>
      </c>
      <c r="F31" s="492">
        <v>4336.9016700000002</v>
      </c>
      <c r="G31" s="463">
        <v>4668.5050000000001</v>
      </c>
      <c r="H31" s="475">
        <v>5883.3533299999999</v>
      </c>
      <c r="J31" s="53" t="s">
        <v>61</v>
      </c>
      <c r="K31" s="133" t="s">
        <v>74</v>
      </c>
      <c r="L31" s="464">
        <v>3313.1183299999998</v>
      </c>
      <c r="M31" s="465">
        <v>3803.0149999999999</v>
      </c>
      <c r="N31" s="465">
        <v>3927.5650000000001</v>
      </c>
      <c r="O31" s="466">
        <v>4255.8999999999996</v>
      </c>
      <c r="P31" s="470">
        <v>4685</v>
      </c>
      <c r="S31" s="32" t="s">
        <v>60</v>
      </c>
      <c r="T31" s="133" t="s">
        <v>71</v>
      </c>
      <c r="U31" s="479">
        <f>D31/$H$31*100</f>
        <v>79.292535027808725</v>
      </c>
      <c r="V31" s="477">
        <f t="shared" ref="V31:X31" si="53">E31/$H$31*100</f>
        <v>74.492522957141531</v>
      </c>
      <c r="W31" s="477">
        <f t="shared" si="53"/>
        <v>73.714792002811777</v>
      </c>
      <c r="X31" s="477">
        <f t="shared" si="53"/>
        <v>79.351090069581119</v>
      </c>
      <c r="Y31" s="479">
        <f t="shared" si="43"/>
        <v>76.712735014335777</v>
      </c>
      <c r="Z31" s="487">
        <v>5883.3533299999999</v>
      </c>
      <c r="AB31" s="53" t="s">
        <v>61</v>
      </c>
      <c r="AC31" s="133" t="s">
        <v>74</v>
      </c>
      <c r="AD31" s="480">
        <f>L31/$P$31*100</f>
        <v>70.717573745997868</v>
      </c>
      <c r="AE31" s="481">
        <f t="shared" ref="AE31:AG31" si="54">M31/$P$31*100</f>
        <v>81.174279615795086</v>
      </c>
      <c r="AF31" s="481">
        <f t="shared" si="54"/>
        <v>83.832764140875142</v>
      </c>
      <c r="AG31" s="481">
        <f t="shared" si="54"/>
        <v>90.840981856990382</v>
      </c>
      <c r="AH31" s="480">
        <f t="shared" si="45"/>
        <v>81.641399839914612</v>
      </c>
      <c r="AI31" s="485">
        <v>4685</v>
      </c>
    </row>
    <row r="32" spans="2:36" ht="16" thickBot="1">
      <c r="B32" s="32" t="s">
        <v>60</v>
      </c>
      <c r="C32" s="133" t="s">
        <v>72</v>
      </c>
      <c r="D32" s="494">
        <v>4155.4650000000001</v>
      </c>
      <c r="E32" s="492">
        <v>3972.6149999999998</v>
      </c>
      <c r="F32" s="492">
        <v>3754.60833</v>
      </c>
      <c r="G32" s="493">
        <v>4371.97</v>
      </c>
      <c r="H32" s="470">
        <v>5209</v>
      </c>
      <c r="K32" s="16" t="s">
        <v>76</v>
      </c>
      <c r="L32" s="456">
        <f>AVERAGE(L23:L31)</f>
        <v>4061.6769949999998</v>
      </c>
      <c r="M32" s="456">
        <f t="shared" ref="M32:O32" si="55">AVERAGE(M23:M31)</f>
        <v>4293.9814285714283</v>
      </c>
      <c r="N32" s="456">
        <f t="shared" si="55"/>
        <v>4366.8497733333325</v>
      </c>
      <c r="O32" s="456">
        <f t="shared" si="55"/>
        <v>4622.1536100000003</v>
      </c>
      <c r="P32" s="456">
        <f t="shared" ref="P32" si="56">AVERAGE(P23:P31)</f>
        <v>5278</v>
      </c>
      <c r="S32" s="32" t="s">
        <v>60</v>
      </c>
      <c r="T32" s="133" t="s">
        <v>72</v>
      </c>
      <c r="U32" s="479">
        <f>D32/$H$32*100</f>
        <v>79.774716836244963</v>
      </c>
      <c r="V32" s="477">
        <f t="shared" ref="V32:X32" si="57">E32/$H$32*100</f>
        <v>76.264446150892681</v>
      </c>
      <c r="W32" s="477">
        <f t="shared" si="57"/>
        <v>72.079253791514688</v>
      </c>
      <c r="X32" s="477">
        <f t="shared" si="57"/>
        <v>83.931080821654831</v>
      </c>
      <c r="Y32" s="479">
        <f t="shared" si="43"/>
        <v>78.012374400076794</v>
      </c>
      <c r="Z32" s="484">
        <v>5209</v>
      </c>
      <c r="AC32" s="16" t="s">
        <v>76</v>
      </c>
      <c r="AD32" s="456">
        <f>AVERAGE(AD23:AD31)</f>
        <v>77.333207176706438</v>
      </c>
      <c r="AE32" s="456">
        <f t="shared" ref="AE32:AI32" si="58">AVERAGE(AE23:AE31)</f>
        <v>81.237570508034466</v>
      </c>
      <c r="AF32" s="456">
        <f t="shared" si="58"/>
        <v>82.951250924219437</v>
      </c>
      <c r="AG32" s="456">
        <f t="shared" si="58"/>
        <v>88.046299735161639</v>
      </c>
      <c r="AH32" s="179">
        <f t="shared" si="58"/>
        <v>82.125586745584243</v>
      </c>
      <c r="AI32" s="456">
        <f t="shared" si="58"/>
        <v>5278</v>
      </c>
    </row>
    <row r="33" spans="2:35" ht="16" thickBot="1">
      <c r="B33" s="53" t="s">
        <v>60</v>
      </c>
      <c r="C33" s="133" t="s">
        <v>73</v>
      </c>
      <c r="D33" s="464">
        <v>4080.29333</v>
      </c>
      <c r="E33" s="465">
        <v>4157.4083300000002</v>
      </c>
      <c r="F33" s="465">
        <v>4350.85833</v>
      </c>
      <c r="G33" s="466">
        <v>4460.2150000000001</v>
      </c>
      <c r="H33" s="475">
        <v>5384.4466700000003</v>
      </c>
      <c r="K33" s="16" t="s">
        <v>13</v>
      </c>
      <c r="L33" s="179">
        <f>STDEVA(L23:L31)</f>
        <v>1975.2948020423737</v>
      </c>
      <c r="M33" s="179">
        <f t="shared" ref="M33:O33" si="59">STDEVA(M23:M31)</f>
        <v>1953.3002813768833</v>
      </c>
      <c r="N33" s="179">
        <f t="shared" si="59"/>
        <v>2075.0901855887073</v>
      </c>
      <c r="O33" s="179">
        <f t="shared" si="59"/>
        <v>2175.9662824369616</v>
      </c>
      <c r="P33" s="179">
        <f t="shared" ref="P33" si="60">STDEVA(P23:P31)</f>
        <v>2373.4192341664193</v>
      </c>
      <c r="S33" s="53" t="s">
        <v>60</v>
      </c>
      <c r="T33" s="133" t="s">
        <v>73</v>
      </c>
      <c r="U33" s="480">
        <f>D33/$H$33*100</f>
        <v>75.779250498176069</v>
      </c>
      <c r="V33" s="481">
        <f t="shared" ref="V33:X33" si="61">E33/$H$33*100</f>
        <v>77.211431086566975</v>
      </c>
      <c r="W33" s="481">
        <f t="shared" si="61"/>
        <v>80.804186514489146</v>
      </c>
      <c r="X33" s="481">
        <f t="shared" si="61"/>
        <v>82.835159736107116</v>
      </c>
      <c r="Y33" s="480">
        <f t="shared" si="43"/>
        <v>79.15750695883483</v>
      </c>
      <c r="Z33" s="488">
        <v>5384.4466700000003</v>
      </c>
      <c r="AC33" s="16" t="s">
        <v>13</v>
      </c>
      <c r="AD33" s="179">
        <f>STDEVA(AD23:AD31)</f>
        <v>36.159514200214922</v>
      </c>
      <c r="AE33" s="179">
        <f t="shared" ref="AE33:AI33" si="62">STDEVA(AE23:AE31)</f>
        <v>35.981693625475636</v>
      </c>
      <c r="AF33" s="179">
        <f t="shared" si="62"/>
        <v>38.661416676617506</v>
      </c>
      <c r="AG33" s="179">
        <f t="shared" si="62"/>
        <v>41.122430662508087</v>
      </c>
      <c r="AH33" s="179">
        <f t="shared" si="62"/>
        <v>36.351638517164098</v>
      </c>
      <c r="AI33" s="179">
        <f t="shared" si="62"/>
        <v>2373.4192341664193</v>
      </c>
    </row>
    <row r="34" spans="2:35">
      <c r="C34" s="16" t="s">
        <v>76</v>
      </c>
      <c r="D34" s="456">
        <f>AVERAGE(D25:D33)</f>
        <v>4168.3224077777786</v>
      </c>
      <c r="E34" s="456">
        <f>AVERAGE(E25:E28,E30:E33)</f>
        <v>4143.5747912499992</v>
      </c>
      <c r="F34" s="456">
        <f t="shared" ref="F34:G34" si="63">AVERAGE(F25:F28,F30:F33)</f>
        <v>4179.2256499999994</v>
      </c>
      <c r="G34" s="456">
        <f t="shared" si="63"/>
        <v>4563.6591675</v>
      </c>
      <c r="H34" s="456">
        <f t="shared" ref="H34" si="64">AVERAGE(H25:H28,H30:H33)</f>
        <v>5217.0999999999995</v>
      </c>
      <c r="K34" s="16" t="s">
        <v>14</v>
      </c>
      <c r="L34" s="179">
        <f>L33/SQRT(COUNT(L23:L31))</f>
        <v>806.41072609595381</v>
      </c>
      <c r="M34" s="179">
        <f t="shared" ref="M34:O34" si="65">M33/SQRT(COUNT(M23:M31))</f>
        <v>738.27811147938894</v>
      </c>
      <c r="N34" s="179">
        <f t="shared" si="65"/>
        <v>847.1520208249301</v>
      </c>
      <c r="O34" s="179">
        <f t="shared" si="65"/>
        <v>888.33451491189692</v>
      </c>
      <c r="P34" s="179">
        <f t="shared" ref="P34" si="66">P33/SQRT(COUNT(P23:P31))</f>
        <v>897.06815007167427</v>
      </c>
      <c r="T34" s="16" t="s">
        <v>76</v>
      </c>
      <c r="U34" s="179">
        <f>AVERAGE(U25:U33)</f>
        <v>79.527884883918972</v>
      </c>
      <c r="V34" s="179">
        <f>AVERAGE(V25:V28,V30:V33)</f>
        <v>79.264431039426569</v>
      </c>
      <c r="W34" s="179">
        <f t="shared" ref="W34:Z34" si="67">AVERAGE(W25:W28,W30:W33)</f>
        <v>79.805579755261931</v>
      </c>
      <c r="X34" s="179">
        <f t="shared" si="67"/>
        <v>87.281482553019814</v>
      </c>
      <c r="Y34" s="179">
        <f t="shared" si="67"/>
        <v>81.412875336109153</v>
      </c>
      <c r="Z34" s="456">
        <f t="shared" si="67"/>
        <v>5217.0999999999995</v>
      </c>
      <c r="AC34" s="16" t="s">
        <v>14</v>
      </c>
      <c r="AD34" s="179">
        <f>AD33/SQRT(COUNT(AD23:AD31))</f>
        <v>14.762059856241523</v>
      </c>
      <c r="AE34" s="179">
        <f t="shared" ref="AE34:AI34" si="68">AE33/SQRT(COUNT(AE23:AE31))</f>
        <v>13.599801869132369</v>
      </c>
      <c r="AF34" s="179">
        <f t="shared" si="68"/>
        <v>15.783457265140182</v>
      </c>
      <c r="AG34" s="179">
        <f t="shared" si="68"/>
        <v>16.788162017687672</v>
      </c>
      <c r="AH34" s="179">
        <f t="shared" si="68"/>
        <v>13.739627895161854</v>
      </c>
      <c r="AI34" s="179">
        <f t="shared" si="68"/>
        <v>897.06815007167427</v>
      </c>
    </row>
    <row r="35" spans="2:35">
      <c r="C35" s="16" t="s">
        <v>13</v>
      </c>
      <c r="D35" s="179">
        <f>STDEVA(D25:D33)</f>
        <v>542.53289176464023</v>
      </c>
      <c r="E35" s="179">
        <f>STDEVA(E25:E28,E30:E33)</f>
        <v>666.26134169801219</v>
      </c>
      <c r="F35" s="179">
        <f t="shared" ref="F35:G35" si="69">STDEVA(F25:F28,F30:F33)</f>
        <v>740.53740379180715</v>
      </c>
      <c r="G35" s="179">
        <f t="shared" si="69"/>
        <v>742.35902832083673</v>
      </c>
      <c r="H35" s="179">
        <f t="shared" ref="H35" si="70">STDEVA(H25:H28,H30:H33)</f>
        <v>606.26256307410051</v>
      </c>
      <c r="T35" s="16" t="s">
        <v>13</v>
      </c>
      <c r="U35" s="179">
        <f>STDEVA(U25:U33)</f>
        <v>4.0897764663351825</v>
      </c>
      <c r="V35" s="179">
        <f>STDEVA(V25:V28,V30:V33)</f>
        <v>6.6952382235799339</v>
      </c>
      <c r="W35" s="179">
        <f t="shared" ref="W35:Z35" si="71">STDEVA(W25:W28,W30:W33)</f>
        <v>7.7690073512608997</v>
      </c>
      <c r="X35" s="179">
        <f t="shared" si="71"/>
        <v>8.8453299616427383</v>
      </c>
      <c r="Y35" s="179">
        <f t="shared" si="71"/>
        <v>5.511862932911189</v>
      </c>
      <c r="Z35" s="179">
        <f t="shared" si="71"/>
        <v>606.26256307410051</v>
      </c>
    </row>
    <row r="36" spans="2:35">
      <c r="C36" s="16" t="s">
        <v>14</v>
      </c>
      <c r="D36" s="179">
        <f>D35/SQRT(COUNT(D25:D33))</f>
        <v>180.84429725488008</v>
      </c>
      <c r="E36" s="179">
        <f t="shared" ref="E36:G36" si="72">E35/SQRT(COUNT(E25:E33))</f>
        <v>222.0871138993374</v>
      </c>
      <c r="F36" s="179">
        <f t="shared" si="72"/>
        <v>246.84580126393573</v>
      </c>
      <c r="G36" s="179">
        <f t="shared" si="72"/>
        <v>247.45300944027892</v>
      </c>
      <c r="H36" s="179">
        <f t="shared" ref="H36" si="73">H35/SQRT(COUNT(H25:H33))</f>
        <v>202.08752102470018</v>
      </c>
      <c r="T36" s="16" t="s">
        <v>14</v>
      </c>
      <c r="U36" s="179">
        <f>U35/SQRT(COUNT(U25:U33))</f>
        <v>1.3632588221117274</v>
      </c>
      <c r="V36" s="179">
        <f t="shared" ref="V36:Z36" si="74">V35/SQRT(COUNT(V25:V33))</f>
        <v>2.2317460745266446</v>
      </c>
      <c r="W36" s="179">
        <f t="shared" si="74"/>
        <v>2.5896691170869666</v>
      </c>
      <c r="X36" s="179">
        <f t="shared" si="74"/>
        <v>2.9484433205475793</v>
      </c>
      <c r="Y36" s="179">
        <f t="shared" si="74"/>
        <v>1.8372876443037296</v>
      </c>
      <c r="Z36" s="179">
        <f t="shared" si="74"/>
        <v>202.08752102470018</v>
      </c>
    </row>
    <row r="37" spans="2:35">
      <c r="J37" t="s">
        <v>201</v>
      </c>
    </row>
    <row r="38" spans="2:35">
      <c r="B38" t="s">
        <v>202</v>
      </c>
      <c r="J38" t="s">
        <v>203</v>
      </c>
    </row>
  </sheetData>
  <mergeCells count="17">
    <mergeCell ref="B23:C24"/>
    <mergeCell ref="J23:K24"/>
    <mergeCell ref="B2:C2"/>
    <mergeCell ref="J2:K2"/>
    <mergeCell ref="B3:C4"/>
    <mergeCell ref="J3:K4"/>
    <mergeCell ref="B22:C22"/>
    <mergeCell ref="J22:K22"/>
    <mergeCell ref="S23:T24"/>
    <mergeCell ref="AB23:AC24"/>
    <mergeCell ref="S1:AI1"/>
    <mergeCell ref="S2:T2"/>
    <mergeCell ref="AB2:AC2"/>
    <mergeCell ref="S3:T4"/>
    <mergeCell ref="AB3:AC4"/>
    <mergeCell ref="S22:T22"/>
    <mergeCell ref="AB22:AC2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GE % change INE (ikke i bruk)</vt:lpstr>
      <vt:lpstr>Laktat+VO2max</vt:lpstr>
      <vt:lpstr>Vekt + VO2</vt:lpstr>
      <vt:lpstr>4 mmol</vt:lpstr>
      <vt:lpstr>Wmax</vt:lpstr>
      <vt:lpstr>Snittwatt 20 min</vt:lpstr>
      <vt:lpstr>Utnyttelsesgrad 20 min</vt:lpstr>
      <vt:lpstr>Laktat + Borg 20 min</vt:lpstr>
      <vt:lpstr>20 min TT individuell</vt:lpstr>
      <vt:lpstr>Arbeidsøkonomi (GE)</vt:lpstr>
      <vt:lpstr>Sprinter w kg INE</vt:lpstr>
      <vt:lpstr>Sprinter INE</vt:lpstr>
      <vt:lpstr>Treningsvolum iTRIMP</vt:lpstr>
      <vt:lpstr>DXA INE</vt:lpstr>
      <vt:lpstr>Keiser INE</vt:lpstr>
      <vt:lpstr>Tabell 1</vt:lpstr>
      <vt:lpstr>Tabell 2</vt:lpstr>
      <vt:lpstr>Tabell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Kristin Marhaug Hartveit</cp:lastModifiedBy>
  <cp:lastPrinted>2017-10-20T11:52:04Z</cp:lastPrinted>
  <dcterms:created xsi:type="dcterms:W3CDTF">2017-01-05T11:57:34Z</dcterms:created>
  <dcterms:modified xsi:type="dcterms:W3CDTF">2020-09-15T12:29:42Z</dcterms:modified>
</cp:coreProperties>
</file>